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Meu Drive\PHB\CT PHB 2023\"/>
    </mc:Choice>
  </mc:AlternateContent>
  <xr:revisionPtr revIDLastSave="0" documentId="13_ncr:1_{DA9F440A-6B65-4D10-8299-ECE18EAC9BDB}" xr6:coauthVersionLast="47" xr6:coauthVersionMax="47" xr10:uidLastSave="{00000000-0000-0000-0000-000000000000}"/>
  <bookViews>
    <workbookView xWindow="38310" yWindow="-90" windowWidth="38580" windowHeight="21180" tabRatio="581" activeTab="1" xr2:uid="{00000000-000D-0000-FFFF-FFFF00000000}"/>
  </bookViews>
  <sheets>
    <sheet name="Planilha Orçamentária" sheetId="16" r:id="rId1"/>
    <sheet name="Planilha a preencher" sheetId="30" r:id="rId2"/>
    <sheet name="Planilha Orçamentária - licit." sheetId="27" state="hidden" r:id="rId3"/>
    <sheet name="Planilha Sintética" sheetId="4" state="hidden" r:id="rId4"/>
    <sheet name="BDI" sheetId="3" r:id="rId5"/>
    <sheet name="Composição_BDI" sheetId="19" r:id="rId6"/>
    <sheet name="Cronograma físico-financ." sheetId="26" r:id="rId7"/>
    <sheet name="Mem. Calc." sheetId="11" state="hidden" r:id="rId8"/>
    <sheet name="Estimat. Preço" sheetId="22" state="hidden" r:id="rId9"/>
    <sheet name="Mem. Calc._area" sheetId="25" r:id="rId10"/>
    <sheet name="ABC Insumos" sheetId="29" r:id="rId11"/>
    <sheet name="Quadro de Áreas" sheetId="24" state="hidden" r:id="rId12"/>
    <sheet name="Orç. Dep. SR-PR" sheetId="23" state="hidden" r:id="rId13"/>
    <sheet name="Taxa Selic" sheetId="20" state="hidden" r:id="rId14"/>
  </sheets>
  <externalReferences>
    <externalReference r:id="rId15"/>
  </externalReferences>
  <definedNames>
    <definedName name="_xlnm._FilterDatabase" localSheetId="3" hidden="1">'Planilha Sintética'!$B$19:$H$19</definedName>
    <definedName name="AC" localSheetId="0">'Planilha Orçamentária'!#REF!</definedName>
    <definedName name="AC" localSheetId="2">'Planilha Orçamentária - licit.'!#REF!</definedName>
    <definedName name="AC" localSheetId="3">'Planilha Sintética'!#REF!</definedName>
    <definedName name="AC">BDI!$C$14</definedName>
    <definedName name="_xlnm.Print_Area" localSheetId="10">'ABC Insumos'!$A$3:$F$21</definedName>
    <definedName name="_xlnm.Print_Area" localSheetId="4">BDI!$A$1:$C$45</definedName>
    <definedName name="_xlnm.Print_Area" localSheetId="8">'Estimat. Preço'!$A$1:$J$52</definedName>
    <definedName name="_xlnm.Print_Area" localSheetId="7">'Mem. Calc.'!$A$1:$K$82</definedName>
    <definedName name="_xlnm.Print_Area" localSheetId="9">'Mem. Calc._area'!$A$1:$K$103</definedName>
    <definedName name="_xlnm.Print_Area" localSheetId="0">'Planilha Orçamentária'!$A$1:$F$33</definedName>
    <definedName name="_xlnm.Print_Area" localSheetId="2">'Planilha Orçamentária - licit.'!$A$1:$G$43</definedName>
    <definedName name="_xlnm.Print_Area" localSheetId="3">'Planilha Sintética'!$A$1:$H$46</definedName>
    <definedName name="DF" localSheetId="0">'Planilha Orçamentária'!#REF!</definedName>
    <definedName name="DF" localSheetId="2">'Planilha Orçamentária - licit.'!#REF!</definedName>
    <definedName name="DF" localSheetId="3">'Planilha Sintética'!#REF!</definedName>
    <definedName name="DF">BDI!$C$17</definedName>
    <definedName name="I" localSheetId="0">'Planilha Orçamentária'!#REF!</definedName>
    <definedName name="I" localSheetId="2">'Planilha Orçamentária - licit.'!#REF!</definedName>
    <definedName name="I" localSheetId="3">'Planilha Sintética'!#REF!</definedName>
    <definedName name="I">BDI!$C$18</definedName>
    <definedName name="LUCRO" localSheetId="0">'Planilha Orçamentária'!#REF!</definedName>
    <definedName name="LUCRO" localSheetId="2">'Planilha Orçamentária - licit.'!#REF!</definedName>
    <definedName name="LUCRO" localSheetId="3">'Planilha Sintética'!#REF!</definedName>
    <definedName name="LUCRO">BDI!$C$19</definedName>
    <definedName name="RISCO" localSheetId="0">'Planilha Orçamentária'!#REF!</definedName>
    <definedName name="RISCO" localSheetId="2">'Planilha Orçamentária - licit.'!#REF!</definedName>
    <definedName name="RISCO" localSheetId="3">'Planilha Sintética'!#REF!</definedName>
    <definedName name="RISCO">BDI!$C$16</definedName>
    <definedName name="S" localSheetId="0">'Planilha Orçamentária'!#REF!</definedName>
    <definedName name="S" localSheetId="2">'Planilha Orçamentária - licit.'!#REF!</definedName>
    <definedName name="S" localSheetId="3">'Planilha Sintética'!#REF!</definedName>
    <definedName name="S">BDI!$C$15</definedName>
    <definedName name="SEGURO" localSheetId="0">'Planilha Orçamentária'!#REF!</definedName>
    <definedName name="SEGURO" localSheetId="2">'Planilha Orçamentária - licit.'!#REF!</definedName>
    <definedName name="SEGURO" localSheetId="3">'Planilha Sintética'!#REF!</definedName>
    <definedName name="SEGURO">BDI!$C$15</definedName>
    <definedName name="_xlnm.Print_Titles" localSheetId="0">'Planilha Orçamentária'!$14:$16</definedName>
    <definedName name="_xlnm.Print_Titles" localSheetId="2">'Planilha Orçamentária - licit.'!$14:$16</definedName>
    <definedName name="_xlnm.Print_Titles" localSheetId="3">'Planilha Sintética'!$14:$19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30" l="1"/>
  <c r="F19" i="30"/>
  <c r="F23" i="30"/>
  <c r="F21" i="30"/>
  <c r="B8" i="30"/>
  <c r="F21" i="29"/>
  <c r="F35" i="29"/>
  <c r="F20" i="29"/>
  <c r="F19" i="29"/>
  <c r="F18" i="29"/>
  <c r="F17" i="29"/>
  <c r="F36" i="29"/>
  <c r="F34" i="29"/>
  <c r="F33" i="29"/>
  <c r="F32" i="29"/>
  <c r="D22" i="26"/>
  <c r="E22" i="26" s="1"/>
  <c r="F22" i="26" s="1"/>
  <c r="C20" i="26"/>
  <c r="C18" i="26"/>
  <c r="C16" i="26"/>
  <c r="E25" i="30" l="1"/>
  <c r="E26" i="30" s="1"/>
  <c r="C23" i="26"/>
  <c r="F21" i="26" l="1"/>
  <c r="D19" i="26"/>
  <c r="F19" i="26"/>
  <c r="F17" i="26"/>
  <c r="E21" i="26"/>
  <c r="E19" i="26"/>
  <c r="E17" i="26"/>
  <c r="D21" i="26"/>
  <c r="D17" i="26"/>
  <c r="D23" i="26" s="1"/>
  <c r="E26" i="16"/>
  <c r="E25" i="16"/>
  <c r="E23" i="16"/>
  <c r="F23" i="16" s="1"/>
  <c r="E21" i="16"/>
  <c r="E19" i="16"/>
  <c r="E24" i="16"/>
  <c r="F21" i="16"/>
  <c r="J26" i="25"/>
  <c r="H26" i="25"/>
  <c r="G26" i="25"/>
  <c r="F26" i="25"/>
  <c r="I26" i="25" s="1"/>
  <c r="E26" i="25"/>
  <c r="K26" i="25" s="1"/>
  <c r="E68" i="25"/>
  <c r="E58" i="25"/>
  <c r="E59" i="25"/>
  <c r="E60" i="25"/>
  <c r="E61" i="25"/>
  <c r="E62" i="25"/>
  <c r="E63" i="25"/>
  <c r="E64" i="25"/>
  <c r="E65" i="25"/>
  <c r="E36" i="25"/>
  <c r="E37" i="25"/>
  <c r="E38" i="25"/>
  <c r="E39" i="25"/>
  <c r="E40" i="25"/>
  <c r="E41" i="25"/>
  <c r="E42" i="25"/>
  <c r="E43" i="25"/>
  <c r="E44" i="25"/>
  <c r="E45" i="25"/>
  <c r="E46" i="25"/>
  <c r="E47" i="25"/>
  <c r="E48" i="25"/>
  <c r="E49" i="25"/>
  <c r="E50" i="25"/>
  <c r="E51" i="25"/>
  <c r="E52" i="25"/>
  <c r="E53" i="25"/>
  <c r="E54" i="25"/>
  <c r="E55" i="25"/>
  <c r="E21" i="25"/>
  <c r="E22" i="25"/>
  <c r="E23" i="25"/>
  <c r="E24" i="25"/>
  <c r="E25" i="25"/>
  <c r="E27" i="25"/>
  <c r="E28" i="25"/>
  <c r="E29" i="25"/>
  <c r="E30" i="25"/>
  <c r="E31" i="25"/>
  <c r="E17" i="25"/>
  <c r="E18" i="25"/>
  <c r="E19" i="25"/>
  <c r="B15" i="27"/>
  <c r="B8" i="27"/>
  <c r="I27" i="23"/>
  <c r="G42" i="23"/>
  <c r="G41" i="23"/>
  <c r="G40" i="23"/>
  <c r="G39" i="23"/>
  <c r="G38" i="23"/>
  <c r="G37" i="23"/>
  <c r="G36" i="23"/>
  <c r="G35" i="23"/>
  <c r="G34" i="23"/>
  <c r="G33" i="23"/>
  <c r="G32" i="23"/>
  <c r="I29" i="23"/>
  <c r="G22" i="23"/>
  <c r="G16" i="23"/>
  <c r="G12" i="23"/>
  <c r="G11" i="23"/>
  <c r="E23" i="26" l="1"/>
  <c r="F23" i="26" s="1"/>
  <c r="F19" i="16"/>
  <c r="G21" i="23"/>
  <c r="G20" i="23"/>
  <c r="G18" i="23"/>
  <c r="G24" i="23"/>
  <c r="G17" i="23"/>
  <c r="B10" i="11"/>
  <c r="B10" i="22" s="1"/>
  <c r="D15" i="22"/>
  <c r="D25" i="22"/>
  <c r="B10" i="4"/>
  <c r="B17" i="26"/>
  <c r="A18" i="26"/>
  <c r="B18" i="26"/>
  <c r="B19" i="26"/>
  <c r="A20" i="26"/>
  <c r="B20" i="26"/>
  <c r="B21" i="26"/>
  <c r="A16" i="26"/>
  <c r="B16" i="26"/>
  <c r="A15" i="26"/>
  <c r="B15" i="26"/>
  <c r="A13" i="26"/>
  <c r="I76" i="25"/>
  <c r="L76" i="25" s="1"/>
  <c r="I89" i="25"/>
  <c r="I86" i="25"/>
  <c r="I83" i="25"/>
  <c r="L73" i="25"/>
  <c r="H73" i="25"/>
  <c r="K73" i="25" s="1"/>
  <c r="F71" i="25"/>
  <c r="H71" i="25" s="1"/>
  <c r="K71" i="25" s="1"/>
  <c r="E67" i="25"/>
  <c r="H59" i="25"/>
  <c r="G59" i="25"/>
  <c r="F59" i="25"/>
  <c r="I59" i="25" s="1"/>
  <c r="H58" i="25"/>
  <c r="G58" i="25"/>
  <c r="F58" i="25"/>
  <c r="H57" i="25"/>
  <c r="G57" i="25"/>
  <c r="F57" i="25"/>
  <c r="I57" i="25" s="1"/>
  <c r="E57" i="25"/>
  <c r="H55" i="25"/>
  <c r="G55" i="25"/>
  <c r="F55" i="25"/>
  <c r="I55" i="25" s="1"/>
  <c r="E35" i="25"/>
  <c r="E33" i="25"/>
  <c r="E32" i="25"/>
  <c r="H24" i="25"/>
  <c r="G24" i="25"/>
  <c r="F24" i="25"/>
  <c r="H23" i="25"/>
  <c r="G23" i="25"/>
  <c r="F23" i="25"/>
  <c r="H22" i="25"/>
  <c r="G22" i="25"/>
  <c r="F22" i="25"/>
  <c r="H21" i="25"/>
  <c r="G21" i="25"/>
  <c r="F21" i="25"/>
  <c r="E16" i="25"/>
  <c r="E15" i="25"/>
  <c r="E14" i="25"/>
  <c r="D25" i="24"/>
  <c r="D26" i="24"/>
  <c r="D19" i="24"/>
  <c r="F35" i="22"/>
  <c r="H36" i="22"/>
  <c r="F33" i="22"/>
  <c r="H33" i="22" s="1"/>
  <c r="I33" i="22" s="1"/>
  <c r="F34" i="22"/>
  <c r="H34" i="22" s="1"/>
  <c r="I58" i="25" l="1"/>
  <c r="J19" i="25"/>
  <c r="J18" i="25"/>
  <c r="I21" i="25"/>
  <c r="J63" i="25"/>
  <c r="J37" i="25"/>
  <c r="J41" i="25"/>
  <c r="J64" i="25"/>
  <c r="J38" i="25"/>
  <c r="J46" i="25"/>
  <c r="J62" i="25"/>
  <c r="J47" i="25"/>
  <c r="J48" i="25"/>
  <c r="J49" i="25"/>
  <c r="J50" i="25"/>
  <c r="J51" i="25"/>
  <c r="J52" i="25"/>
  <c r="J40" i="25"/>
  <c r="J53" i="25"/>
  <c r="J54" i="25"/>
  <c r="J39" i="25"/>
  <c r="J61" i="25"/>
  <c r="J24" i="25"/>
  <c r="J32" i="25"/>
  <c r="J29" i="25"/>
  <c r="J27" i="25"/>
  <c r="J31" i="25"/>
  <c r="J33" i="25"/>
  <c r="J68" i="25"/>
  <c r="I24" i="25"/>
  <c r="I23" i="25"/>
  <c r="I22" i="25"/>
  <c r="J67" i="25"/>
  <c r="J57" i="25"/>
  <c r="J43" i="25"/>
  <c r="K55" i="25"/>
  <c r="J59" i="25"/>
  <c r="J42" i="25"/>
  <c r="K57" i="25"/>
  <c r="J58" i="25"/>
  <c r="K58" i="25" s="1"/>
  <c r="K74" i="25"/>
  <c r="K59" i="25"/>
  <c r="K24" i="25"/>
  <c r="J23" i="25"/>
  <c r="K23" i="25" s="1"/>
  <c r="J22" i="25"/>
  <c r="K22" i="25" s="1"/>
  <c r="J21" i="25"/>
  <c r="K21" i="25" s="1"/>
  <c r="J16" i="25"/>
  <c r="K77" i="25"/>
  <c r="D27" i="24"/>
  <c r="D18" i="24"/>
  <c r="D20" i="24" s="1"/>
  <c r="I36" i="22"/>
  <c r="J36" i="22" s="1"/>
  <c r="I34" i="22"/>
  <c r="J34" i="22" s="1"/>
  <c r="J33" i="22"/>
  <c r="G36" i="25" l="1"/>
  <c r="G35" i="25"/>
  <c r="G19" i="25"/>
  <c r="G17" i="25"/>
  <c r="G16" i="25"/>
  <c r="G14" i="25"/>
  <c r="G37" i="25"/>
  <c r="G68" i="25"/>
  <c r="G41" i="25"/>
  <c r="G33" i="25"/>
  <c r="G67" i="25"/>
  <c r="G51" i="25"/>
  <c r="G48" i="25"/>
  <c r="G25" i="25"/>
  <c r="G63" i="25"/>
  <c r="G60" i="25"/>
  <c r="G52" i="25"/>
  <c r="G40" i="25"/>
  <c r="G27" i="25"/>
  <c r="G65" i="25"/>
  <c r="G61" i="25"/>
  <c r="G54" i="25"/>
  <c r="G49" i="25"/>
  <c r="G47" i="25"/>
  <c r="G28" i="25"/>
  <c r="G46" i="25"/>
  <c r="G29" i="25"/>
  <c r="G18" i="25"/>
  <c r="G15" i="25"/>
  <c r="G30" i="25"/>
  <c r="G50" i="25"/>
  <c r="G45" i="25"/>
  <c r="G38" i="25"/>
  <c r="G31" i="25"/>
  <c r="G32" i="25"/>
  <c r="G64" i="25"/>
  <c r="G62" i="25"/>
  <c r="G53" i="25"/>
  <c r="G44" i="25"/>
  <c r="G39" i="25"/>
  <c r="G43" i="25"/>
  <c r="G42" i="25"/>
  <c r="H27" i="25"/>
  <c r="H31" i="25"/>
  <c r="H68" i="25"/>
  <c r="H54" i="25"/>
  <c r="H46" i="25"/>
  <c r="H38" i="25"/>
  <c r="H14" i="25"/>
  <c r="H28" i="25"/>
  <c r="H32" i="25"/>
  <c r="H65" i="25"/>
  <c r="H52" i="25"/>
  <c r="H44" i="25"/>
  <c r="H36" i="25"/>
  <c r="H51" i="25"/>
  <c r="H43" i="25"/>
  <c r="H35" i="25"/>
  <c r="H29" i="25"/>
  <c r="H33" i="25"/>
  <c r="H63" i="25"/>
  <c r="H19" i="25"/>
  <c r="H67" i="25"/>
  <c r="H53" i="25"/>
  <c r="H45" i="25"/>
  <c r="H37" i="25"/>
  <c r="H42" i="25"/>
  <c r="H39" i="25"/>
  <c r="H64" i="25"/>
  <c r="H48" i="25"/>
  <c r="H47" i="25"/>
  <c r="H50" i="25"/>
  <c r="H40" i="25"/>
  <c r="H62" i="25"/>
  <c r="H49" i="25"/>
  <c r="H41" i="25"/>
  <c r="H17" i="25"/>
  <c r="H25" i="25"/>
  <c r="H30" i="25"/>
  <c r="H18" i="25"/>
  <c r="H61" i="25"/>
  <c r="H16" i="25"/>
  <c r="H60" i="25"/>
  <c r="H15" i="25"/>
  <c r="C34" i="4" l="1"/>
  <c r="B31" i="4"/>
  <c r="C31" i="4"/>
  <c r="B20" i="4" l="1"/>
  <c r="C20" i="4"/>
  <c r="C18" i="4"/>
  <c r="C17" i="4"/>
  <c r="B15" i="4"/>
  <c r="I58" i="11"/>
  <c r="G15" i="4"/>
  <c r="I57" i="11"/>
  <c r="I52" i="11"/>
  <c r="I45" i="11"/>
  <c r="I44" i="11"/>
  <c r="I42" i="11"/>
  <c r="I41" i="11"/>
  <c r="I40" i="11"/>
  <c r="I39" i="11"/>
  <c r="I38" i="11"/>
  <c r="I37" i="11"/>
  <c r="I36" i="11"/>
  <c r="I33" i="11"/>
  <c r="I32" i="11"/>
  <c r="I31" i="11"/>
  <c r="I30" i="11"/>
  <c r="I28" i="11"/>
  <c r="I27" i="11"/>
  <c r="I24" i="11"/>
  <c r="I23" i="11"/>
  <c r="I22" i="11"/>
  <c r="I21" i="11"/>
  <c r="I20" i="11"/>
  <c r="I18" i="11"/>
  <c r="I16" i="11"/>
  <c r="I51" i="11"/>
  <c r="F22" i="22" l="1"/>
  <c r="H21" i="22"/>
  <c r="J44" i="22"/>
  <c r="G44" i="22"/>
  <c r="G42" i="22" l="1"/>
  <c r="D74" i="11"/>
  <c r="H22" i="22"/>
  <c r="I22" i="22" l="1"/>
  <c r="I23" i="22" s="1"/>
  <c r="H23" i="22"/>
  <c r="D68" i="11" s="1"/>
  <c r="J22" i="22" l="1"/>
  <c r="J23" i="22" s="1"/>
  <c r="H42" i="22"/>
  <c r="H46" i="22" s="1"/>
  <c r="D73" i="11" l="1"/>
  <c r="H39" i="22"/>
  <c r="H38" i="22"/>
  <c r="H35" i="22"/>
  <c r="H37" i="22" s="1"/>
  <c r="D71" i="11" s="1"/>
  <c r="J9" i="23"/>
  <c r="L9" i="23" s="1"/>
  <c r="G45" i="23"/>
  <c r="G44" i="23"/>
  <c r="K46" i="23"/>
  <c r="J46" i="23"/>
  <c r="K43" i="23"/>
  <c r="J43" i="23"/>
  <c r="H42" i="23"/>
  <c r="K42" i="23" s="1"/>
  <c r="H41" i="23"/>
  <c r="J41" i="23" s="1"/>
  <c r="L41" i="23" s="1"/>
  <c r="K40" i="23"/>
  <c r="J40" i="23"/>
  <c r="L40" i="23" s="1"/>
  <c r="K39" i="23"/>
  <c r="J39" i="23"/>
  <c r="L39" i="23" s="1"/>
  <c r="H38" i="23"/>
  <c r="K38" i="23" s="1"/>
  <c r="K37" i="23"/>
  <c r="J37" i="23"/>
  <c r="L37" i="23" s="1"/>
  <c r="K36" i="23"/>
  <c r="J36" i="23"/>
  <c r="L36" i="23" s="1"/>
  <c r="H35" i="23"/>
  <c r="K35" i="23" s="1"/>
  <c r="H34" i="23"/>
  <c r="K34" i="23" s="1"/>
  <c r="K33" i="23"/>
  <c r="J33" i="23"/>
  <c r="L33" i="23" s="1"/>
  <c r="K32" i="23"/>
  <c r="J32" i="23"/>
  <c r="L32" i="23" s="1"/>
  <c r="K31" i="23"/>
  <c r="J31" i="23"/>
  <c r="H30" i="23"/>
  <c r="K30" i="23" s="1"/>
  <c r="H29" i="23"/>
  <c r="K29" i="23" s="1"/>
  <c r="H28" i="23"/>
  <c r="K28" i="23" s="1"/>
  <c r="H27" i="23"/>
  <c r="K27" i="23" s="1"/>
  <c r="K26" i="23"/>
  <c r="J26" i="23"/>
  <c r="L26" i="23" s="1"/>
  <c r="K25" i="23"/>
  <c r="J25" i="23"/>
  <c r="K23" i="23"/>
  <c r="J23" i="23"/>
  <c r="K22" i="23"/>
  <c r="J22" i="23"/>
  <c r="L22" i="23" s="1"/>
  <c r="K21" i="23"/>
  <c r="J21" i="23"/>
  <c r="L21" i="23" s="1"/>
  <c r="K20" i="23"/>
  <c r="J20" i="23"/>
  <c r="L20" i="23" s="1"/>
  <c r="K19" i="23"/>
  <c r="J19" i="23"/>
  <c r="K18" i="23"/>
  <c r="J18" i="23"/>
  <c r="L18" i="23" s="1"/>
  <c r="K17" i="23"/>
  <c r="J17" i="23"/>
  <c r="L17" i="23" s="1"/>
  <c r="K16" i="23"/>
  <c r="J16" i="23"/>
  <c r="L16" i="23" s="1"/>
  <c r="K15" i="23"/>
  <c r="J15" i="23"/>
  <c r="K14" i="23"/>
  <c r="J14" i="23"/>
  <c r="H13" i="23"/>
  <c r="K13" i="23" s="1"/>
  <c r="K12" i="23"/>
  <c r="J12" i="23"/>
  <c r="L12" i="23" s="1"/>
  <c r="K11" i="23"/>
  <c r="J11" i="23"/>
  <c r="L11" i="23" s="1"/>
  <c r="K10" i="23"/>
  <c r="J10" i="23"/>
  <c r="L10" i="23" s="1"/>
  <c r="K9" i="23"/>
  <c r="H31" i="22"/>
  <c r="G26" i="22"/>
  <c r="F26" i="22"/>
  <c r="D12" i="24" s="1"/>
  <c r="D13" i="24" s="1"/>
  <c r="J38" i="23" l="1"/>
  <c r="L38" i="23" s="1"/>
  <c r="J29" i="23"/>
  <c r="L29" i="23" s="1"/>
  <c r="J27" i="23"/>
  <c r="L27" i="23" s="1"/>
  <c r="F49" i="25"/>
  <c r="I49" i="25" s="1"/>
  <c r="K49" i="25" s="1"/>
  <c r="F43" i="25"/>
  <c r="I43" i="25" s="1"/>
  <c r="K43" i="25" s="1"/>
  <c r="F60" i="25"/>
  <c r="I60" i="25" s="1"/>
  <c r="K60" i="25" s="1"/>
  <c r="F38" i="25"/>
  <c r="I38" i="25" s="1"/>
  <c r="K38" i="25" s="1"/>
  <c r="F44" i="25"/>
  <c r="I44" i="25" s="1"/>
  <c r="K44" i="25" s="1"/>
  <c r="F42" i="25"/>
  <c r="I42" i="25" s="1"/>
  <c r="K42" i="25" s="1"/>
  <c r="F14" i="25"/>
  <c r="F36" i="25"/>
  <c r="I36" i="25" s="1"/>
  <c r="K36" i="25" s="1"/>
  <c r="F64" i="25"/>
  <c r="I64" i="25" s="1"/>
  <c r="K64" i="25" s="1"/>
  <c r="F33" i="25"/>
  <c r="I33" i="25" s="1"/>
  <c r="K33" i="25" s="1"/>
  <c r="F53" i="25"/>
  <c r="I53" i="25" s="1"/>
  <c r="K53" i="25" s="1"/>
  <c r="F68" i="25"/>
  <c r="I68" i="25" s="1"/>
  <c r="K68" i="25" s="1"/>
  <c r="F19" i="25"/>
  <c r="I19" i="25" s="1"/>
  <c r="K19" i="25" s="1"/>
  <c r="F16" i="25"/>
  <c r="I16" i="25" s="1"/>
  <c r="K16" i="25" s="1"/>
  <c r="F41" i="25"/>
  <c r="I41" i="25" s="1"/>
  <c r="K41" i="25" s="1"/>
  <c r="F47" i="25"/>
  <c r="I47" i="25" s="1"/>
  <c r="K47" i="25" s="1"/>
  <c r="F27" i="25"/>
  <c r="I27" i="25" s="1"/>
  <c r="K27" i="25" s="1"/>
  <c r="F67" i="25"/>
  <c r="I67" i="25" s="1"/>
  <c r="K67" i="25" s="1"/>
  <c r="F31" i="25"/>
  <c r="I31" i="25" s="1"/>
  <c r="K31" i="25" s="1"/>
  <c r="F25" i="25"/>
  <c r="I25" i="25" s="1"/>
  <c r="K25" i="25" s="1"/>
  <c r="F37" i="25"/>
  <c r="I37" i="25" s="1"/>
  <c r="K37" i="25" s="1"/>
  <c r="F46" i="25"/>
  <c r="I46" i="25" s="1"/>
  <c r="K46" i="25" s="1"/>
  <c r="F17" i="25"/>
  <c r="I17" i="25" s="1"/>
  <c r="K17" i="25" s="1"/>
  <c r="F52" i="25"/>
  <c r="I52" i="25" s="1"/>
  <c r="K52" i="25" s="1"/>
  <c r="F39" i="25"/>
  <c r="I39" i="25" s="1"/>
  <c r="K39" i="25" s="1"/>
  <c r="F30" i="25"/>
  <c r="I30" i="25" s="1"/>
  <c r="K30" i="25" s="1"/>
  <c r="F50" i="25"/>
  <c r="I50" i="25" s="1"/>
  <c r="K50" i="25" s="1"/>
  <c r="F48" i="25"/>
  <c r="I48" i="25" s="1"/>
  <c r="K48" i="25" s="1"/>
  <c r="F45" i="25"/>
  <c r="I45" i="25" s="1"/>
  <c r="K45" i="25" s="1"/>
  <c r="F54" i="25"/>
  <c r="I54" i="25" s="1"/>
  <c r="K54" i="25" s="1"/>
  <c r="F18" i="25"/>
  <c r="I18" i="25" s="1"/>
  <c r="K18" i="25" s="1"/>
  <c r="F15" i="25"/>
  <c r="F40" i="25"/>
  <c r="I40" i="25" s="1"/>
  <c r="K40" i="25" s="1"/>
  <c r="F62" i="25"/>
  <c r="I62" i="25" s="1"/>
  <c r="K62" i="25" s="1"/>
  <c r="F63" i="25"/>
  <c r="I63" i="25" s="1"/>
  <c r="K63" i="25" s="1"/>
  <c r="F61" i="25"/>
  <c r="I61" i="25" s="1"/>
  <c r="K61" i="25" s="1"/>
  <c r="F51" i="25"/>
  <c r="I51" i="25" s="1"/>
  <c r="K51" i="25" s="1"/>
  <c r="F32" i="25"/>
  <c r="I32" i="25" s="1"/>
  <c r="K32" i="25" s="1"/>
  <c r="F65" i="25"/>
  <c r="I65" i="25" s="1"/>
  <c r="K65" i="25" s="1"/>
  <c r="F29" i="25"/>
  <c r="I29" i="25" s="1"/>
  <c r="K29" i="25" s="1"/>
  <c r="F35" i="25"/>
  <c r="I35" i="25" s="1"/>
  <c r="K35" i="25" s="1"/>
  <c r="F28" i="25"/>
  <c r="I28" i="25" s="1"/>
  <c r="K28" i="25" s="1"/>
  <c r="I40" i="22"/>
  <c r="H40" i="22"/>
  <c r="D72" i="11" s="1"/>
  <c r="H26" i="22"/>
  <c r="J39" i="22"/>
  <c r="I35" i="22"/>
  <c r="L19" i="23"/>
  <c r="L15" i="23"/>
  <c r="K41" i="23"/>
  <c r="J34" i="23"/>
  <c r="L34" i="23" s="1"/>
  <c r="J28" i="23"/>
  <c r="L28" i="23" s="1"/>
  <c r="J30" i="23"/>
  <c r="L30" i="23" s="1"/>
  <c r="J13" i="23"/>
  <c r="L13" i="23" s="1"/>
  <c r="L8" i="23" s="1"/>
  <c r="L7" i="23" s="1"/>
  <c r="J35" i="23"/>
  <c r="L35" i="23" s="1"/>
  <c r="J42" i="23"/>
  <c r="L42" i="23" s="1"/>
  <c r="I14" i="25" l="1"/>
  <c r="K14" i="25" s="1"/>
  <c r="K20" i="25" s="1"/>
  <c r="I15" i="25"/>
  <c r="K15" i="25" s="1"/>
  <c r="L31" i="23"/>
  <c r="L25" i="23"/>
  <c r="K69" i="25"/>
  <c r="K34" i="25"/>
  <c r="K66" i="25"/>
  <c r="K56" i="25"/>
  <c r="J35" i="22"/>
  <c r="J37" i="22" s="1"/>
  <c r="I37" i="22"/>
  <c r="H30" i="22"/>
  <c r="H47" i="22" s="1"/>
  <c r="H48" i="22" s="1"/>
  <c r="I26" i="22"/>
  <c r="I30" i="22" s="1"/>
  <c r="J40" i="22"/>
  <c r="G18" i="22"/>
  <c r="K78" i="25" l="1"/>
  <c r="D70" i="11"/>
  <c r="J26" i="22"/>
  <c r="J30" i="22" s="1"/>
  <c r="F34" i="4"/>
  <c r="G34" i="4" s="1"/>
  <c r="B8" i="22"/>
  <c r="D69" i="11" l="1"/>
  <c r="C15" i="20"/>
  <c r="M10" i="11"/>
  <c r="A8" i="19"/>
  <c r="B8" i="11"/>
  <c r="B8" i="16"/>
  <c r="C27" i="3"/>
  <c r="F32" i="4" l="1"/>
  <c r="G32" i="4" s="1"/>
  <c r="A8" i="25"/>
  <c r="A4" i="24"/>
  <c r="G30" i="19"/>
  <c r="G29" i="19"/>
  <c r="G28" i="19"/>
  <c r="G26" i="19"/>
  <c r="G25" i="19"/>
  <c r="G23" i="19"/>
  <c r="G22" i="19"/>
  <c r="G24" i="19"/>
  <c r="B11" i="4"/>
  <c r="F33" i="4" l="1"/>
  <c r="G33" i="4" s="1"/>
  <c r="A11" i="19"/>
  <c r="A10" i="19"/>
  <c r="F35" i="4" l="1"/>
  <c r="G35" i="4" s="1"/>
  <c r="G39" i="4" s="1"/>
  <c r="F38" i="4"/>
  <c r="G38" i="4" s="1"/>
  <c r="F37" i="4"/>
  <c r="G37" i="4" s="1"/>
  <c r="F36" i="4"/>
  <c r="G36" i="4" s="1"/>
  <c r="H36" i="4" s="1"/>
  <c r="M8" i="11"/>
  <c r="M11" i="11" s="1"/>
  <c r="F18" i="11"/>
  <c r="H34" i="4" l="1"/>
  <c r="H33" i="4"/>
  <c r="H32" i="4"/>
  <c r="H38" i="4"/>
  <c r="H35" i="4"/>
  <c r="H37" i="4"/>
  <c r="M9" i="11"/>
  <c r="G18" i="11"/>
  <c r="C23" i="4"/>
  <c r="C22" i="4"/>
  <c r="M13" i="11" l="1"/>
  <c r="F16" i="22"/>
  <c r="C19" i="20"/>
  <c r="I49" i="11"/>
  <c r="F36" i="11" l="1"/>
  <c r="F33" i="11" l="1"/>
  <c r="E33" i="11"/>
  <c r="G33" i="11" l="1"/>
  <c r="G17" i="11"/>
  <c r="F17" i="11"/>
  <c r="G27" i="11" l="1"/>
  <c r="F51" i="11"/>
  <c r="E48" i="11"/>
  <c r="F52" i="11"/>
  <c r="F45" i="11"/>
  <c r="F44" i="11"/>
  <c r="F42" i="11"/>
  <c r="F40" i="11"/>
  <c r="F39" i="11"/>
  <c r="F38" i="11"/>
  <c r="F35" i="11"/>
  <c r="F34" i="11"/>
  <c r="F31" i="11"/>
  <c r="F30" i="11"/>
  <c r="F29" i="11"/>
  <c r="F27" i="11"/>
  <c r="F25" i="11"/>
  <c r="F24" i="11"/>
  <c r="F22" i="11"/>
  <c r="F21" i="11"/>
  <c r="F20" i="11"/>
  <c r="F16" i="11"/>
  <c r="F23" i="11" l="1"/>
  <c r="F28" i="11"/>
  <c r="F32" i="11"/>
  <c r="F37" i="11"/>
  <c r="F41" i="11"/>
  <c r="G22" i="11"/>
  <c r="G51" i="11"/>
  <c r="G21" i="11"/>
  <c r="G52" i="11"/>
  <c r="G23" i="11"/>
  <c r="G30" i="11"/>
  <c r="G20" i="11"/>
  <c r="G24" i="11"/>
  <c r="I48" i="11" l="1"/>
  <c r="J49" i="11"/>
  <c r="J48" i="11" l="1"/>
  <c r="J50" i="11" l="1"/>
  <c r="C18" i="3" l="1"/>
  <c r="E18" i="11"/>
  <c r="E17" i="11"/>
  <c r="E52" i="11"/>
  <c r="E45" i="11"/>
  <c r="E36" i="11"/>
  <c r="E34" i="11"/>
  <c r="E22" i="11"/>
  <c r="E39" i="11"/>
  <c r="E25" i="11"/>
  <c r="E40" i="11"/>
  <c r="E35" i="11"/>
  <c r="E16" i="11"/>
  <c r="E27" i="11"/>
  <c r="E41" i="11"/>
  <c r="E28" i="11"/>
  <c r="E42" i="11"/>
  <c r="E24" i="11"/>
  <c r="E38" i="11"/>
  <c r="E30" i="11"/>
  <c r="E20" i="11"/>
  <c r="E29" i="11"/>
  <c r="E23" i="11"/>
  <c r="E32" i="11"/>
  <c r="E31" i="11"/>
  <c r="E44" i="11"/>
  <c r="E21" i="11"/>
  <c r="E37" i="11"/>
  <c r="E51" i="11"/>
  <c r="C20" i="3" l="1"/>
  <c r="G27" i="19"/>
  <c r="E40" i="4" l="1"/>
  <c r="G40" i="4" s="1"/>
  <c r="G41" i="4" s="1"/>
  <c r="E29" i="4"/>
  <c r="D25" i="16"/>
  <c r="I42" i="22"/>
  <c r="J20" i="19"/>
  <c r="F15" i="4" s="1"/>
  <c r="I46" i="22" l="1"/>
  <c r="I47" i="22" s="1"/>
  <c r="I48" i="22" s="1"/>
  <c r="J42" i="22"/>
  <c r="J46" i="22" s="1"/>
  <c r="J47" i="22" s="1"/>
  <c r="J24" i="23"/>
  <c r="H45" i="23"/>
  <c r="G48" i="23"/>
  <c r="K48" i="23" s="1"/>
  <c r="H44" i="23"/>
  <c r="K44" i="23" s="1"/>
  <c r="K24" i="23"/>
  <c r="G47" i="23"/>
  <c r="L24" i="23"/>
  <c r="L23" i="23" s="1"/>
  <c r="L14" i="23" s="1"/>
  <c r="J44" i="23" l="1"/>
  <c r="L44" i="23" s="1"/>
  <c r="K45" i="23"/>
  <c r="J45" i="23"/>
  <c r="L45" i="23" s="1"/>
  <c r="J47" i="23"/>
  <c r="L47" i="23" s="1"/>
  <c r="J48" i="23"/>
  <c r="K47" i="23"/>
  <c r="L48" i="23"/>
  <c r="L46" i="23" l="1"/>
  <c r="L43" i="23"/>
  <c r="K49" i="23"/>
  <c r="L49" i="23"/>
  <c r="J50" i="23"/>
  <c r="H16" i="22" s="1"/>
  <c r="G16" i="22" l="1"/>
  <c r="H19" i="22"/>
  <c r="I16" i="22"/>
  <c r="I19" i="22" s="1"/>
  <c r="I24" i="22" s="1"/>
  <c r="J51" i="23"/>
  <c r="J52" i="23" s="1"/>
  <c r="J16" i="22" l="1"/>
  <c r="J19" i="22" s="1"/>
  <c r="J24" i="22" s="1"/>
  <c r="J48" i="22" s="1"/>
  <c r="H24" i="22"/>
  <c r="H51" i="22" s="1"/>
  <c r="D67" i="11"/>
  <c r="H44" i="11" l="1"/>
  <c r="J44" i="11" s="1"/>
  <c r="H30" i="11"/>
  <c r="J30" i="11" s="1"/>
  <c r="D66" i="11"/>
  <c r="H18" i="11" l="1"/>
  <c r="J18" i="11" s="1"/>
  <c r="H51" i="11"/>
  <c r="J51" i="11" s="1"/>
  <c r="H25" i="11"/>
  <c r="J25" i="11" s="1"/>
  <c r="H22" i="11"/>
  <c r="J22" i="11" s="1"/>
  <c r="H32" i="11"/>
  <c r="J32" i="11" s="1"/>
  <c r="H33" i="11"/>
  <c r="J33" i="11" s="1"/>
  <c r="H29" i="11"/>
  <c r="J29" i="11" s="1"/>
  <c r="H28" i="11"/>
  <c r="J28" i="11" s="1"/>
  <c r="H34" i="11"/>
  <c r="J34" i="11" s="1"/>
  <c r="H23" i="11"/>
  <c r="J23" i="11" s="1"/>
  <c r="H38" i="11"/>
  <c r="J38" i="11" s="1"/>
  <c r="H17" i="11"/>
  <c r="J17" i="11" s="1"/>
  <c r="H31" i="11"/>
  <c r="J31" i="11" s="1"/>
  <c r="H52" i="11"/>
  <c r="J52" i="11" s="1"/>
  <c r="H37" i="11"/>
  <c r="J37" i="11" s="1"/>
  <c r="H24" i="11"/>
  <c r="J24" i="11" s="1"/>
  <c r="H16" i="11"/>
  <c r="J16" i="11" s="1"/>
  <c r="H45" i="11"/>
  <c r="J45" i="11" s="1"/>
  <c r="J46" i="11" s="1"/>
  <c r="F23" i="4" s="1"/>
  <c r="G23" i="4" s="1"/>
  <c r="H39" i="11"/>
  <c r="J39" i="11" s="1"/>
  <c r="H42" i="11"/>
  <c r="J42" i="11" s="1"/>
  <c r="H36" i="11"/>
  <c r="J36" i="11" s="1"/>
  <c r="H41" i="11"/>
  <c r="J41" i="11" s="1"/>
  <c r="H40" i="11"/>
  <c r="J40" i="11" s="1"/>
  <c r="H35" i="11"/>
  <c r="J35" i="11" s="1"/>
  <c r="H27" i="11"/>
  <c r="J27" i="11" s="1"/>
  <c r="H21" i="11"/>
  <c r="J21" i="11" s="1"/>
  <c r="H20" i="11"/>
  <c r="J20" i="11" s="1"/>
  <c r="J26" i="11" l="1"/>
  <c r="J53" i="11"/>
  <c r="F26" i="4"/>
  <c r="G26" i="4" s="1"/>
  <c r="F27" i="4"/>
  <c r="G27" i="4" s="1"/>
  <c r="J43" i="11"/>
  <c r="F22" i="4" s="1"/>
  <c r="G22" i="4" s="1"/>
  <c r="J19" i="11"/>
  <c r="F21" i="4" s="1"/>
  <c r="G21" i="4" s="1"/>
  <c r="C16" i="4"/>
  <c r="J54" i="11" l="1"/>
  <c r="F24" i="4"/>
  <c r="G24" i="4" s="1"/>
  <c r="F25" i="4"/>
  <c r="G25" i="4" s="1"/>
  <c r="G28" i="4" l="1"/>
  <c r="H25" i="4" s="1"/>
  <c r="H27" i="4" l="1"/>
  <c r="G29" i="4"/>
  <c r="G30" i="4" s="1"/>
  <c r="G42" i="4" s="1"/>
  <c r="H23" i="4"/>
  <c r="H26" i="4"/>
  <c r="H22" i="4"/>
  <c r="H21" i="4"/>
  <c r="H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Fabio Macedo</author>
  </authors>
  <commentList>
    <comment ref="D74" authorId="0" shapeId="0" xr:uid="{735F5026-0DA9-4A32-A893-0A7E1E0920A4}">
      <text>
        <r>
          <rPr>
            <b/>
            <sz val="9"/>
            <color indexed="81"/>
            <rFont val="Segoe UI"/>
            <family val="2"/>
          </rPr>
          <t>Fabio Macedo:</t>
        </r>
        <r>
          <rPr>
            <sz val="9"/>
            <color indexed="81"/>
            <rFont val="Segoe UI"/>
            <family val="2"/>
          </rPr>
          <t xml:space="preserve">
Área estimada que terá intevenção para projeto estrutural: 50m2</t>
        </r>
      </text>
    </comment>
  </commentList>
</comments>
</file>

<file path=xl/sharedStrings.xml><?xml version="1.0" encoding="utf-8"?>
<sst xmlns="http://schemas.openxmlformats.org/spreadsheetml/2006/main" count="864" uniqueCount="549">
  <si>
    <t>ITEM</t>
  </si>
  <si>
    <t>DESCRIÇÃO</t>
  </si>
  <si>
    <t>TAXA  (%)</t>
  </si>
  <si>
    <t>BDI ADOTADO</t>
  </si>
  <si>
    <t>TOTAL</t>
  </si>
  <si>
    <t>PIS</t>
  </si>
  <si>
    <t>COFINS</t>
  </si>
  <si>
    <t>SERVIÇO PÚBLICO FEDERAL</t>
  </si>
  <si>
    <t>MJSP - POLÍCIA FEDERAL</t>
  </si>
  <si>
    <t>IMPOSTOS</t>
  </si>
  <si>
    <r>
      <rPr>
        <b/>
        <sz val="12"/>
        <rFont val="Times New Roman"/>
        <family val="1"/>
      </rPr>
      <t>AC</t>
    </r>
    <r>
      <rPr>
        <sz val="12"/>
        <rFont val="Times New Roman"/>
        <family val="1"/>
      </rPr>
      <t xml:space="preserve"> = Taxa representativa das despesas de rateio da Administração Central</t>
    </r>
  </si>
  <si>
    <r>
      <rPr>
        <b/>
        <sz val="12"/>
        <rFont val="Times New Roman"/>
        <family val="1"/>
      </rPr>
      <t>R</t>
    </r>
    <r>
      <rPr>
        <sz val="12"/>
        <rFont val="Times New Roman"/>
        <family val="1"/>
      </rPr>
      <t xml:space="preserve"> = Taxa representativa de Riscos</t>
    </r>
  </si>
  <si>
    <r>
      <rPr>
        <b/>
        <sz val="12"/>
        <rFont val="Times New Roman"/>
        <family val="1"/>
      </rPr>
      <t>S</t>
    </r>
    <r>
      <rPr>
        <sz val="12"/>
        <rFont val="Times New Roman"/>
        <family val="1"/>
      </rPr>
      <t xml:space="preserve"> = Taxa representativa de Seguros</t>
    </r>
  </si>
  <si>
    <r>
      <rPr>
        <b/>
        <sz val="12"/>
        <rFont val="Times New Roman"/>
        <family val="1"/>
      </rPr>
      <t>G</t>
    </r>
    <r>
      <rPr>
        <sz val="12"/>
        <rFont val="Times New Roman"/>
        <family val="1"/>
      </rPr>
      <t xml:space="preserve"> = Taxa representativa de Garantias</t>
    </r>
  </si>
  <si>
    <r>
      <rPr>
        <b/>
        <sz val="12"/>
        <rFont val="Times New Roman"/>
        <family val="1"/>
      </rPr>
      <t>DF</t>
    </r>
    <r>
      <rPr>
        <sz val="12"/>
        <rFont val="Times New Roman"/>
        <family val="1"/>
      </rPr>
      <t xml:space="preserve"> = Taxa representativa de Despesas Financeiras</t>
    </r>
  </si>
  <si>
    <r>
      <rPr>
        <b/>
        <sz val="12"/>
        <rFont val="Times New Roman"/>
        <family val="1"/>
      </rPr>
      <t>L</t>
    </r>
    <r>
      <rPr>
        <sz val="12"/>
        <rFont val="Times New Roman"/>
        <family val="1"/>
      </rPr>
      <t xml:space="preserve"> = Taxa representativa do Lucro/Remuneração</t>
    </r>
  </si>
  <si>
    <t>5.1</t>
  </si>
  <si>
    <t>5.2</t>
  </si>
  <si>
    <t>5.3</t>
  </si>
  <si>
    <t>Onde:</t>
  </si>
  <si>
    <t>DETALHAMENTO TRIBUTOS CONSIDERADOS</t>
  </si>
  <si>
    <r>
      <rPr>
        <b/>
        <sz val="12"/>
        <rFont val="Times New Roman"/>
        <family val="1"/>
      </rPr>
      <t xml:space="preserve">I </t>
    </r>
    <r>
      <rPr>
        <sz val="12"/>
        <rFont val="Times New Roman"/>
        <family val="1"/>
      </rPr>
      <t>= Taxa representativa da Incidência de Impostos</t>
    </r>
  </si>
  <si>
    <t>DISCRIMINAÇÃO DOS SERVIÇOS</t>
  </si>
  <si>
    <t>1.2</t>
  </si>
  <si>
    <t>Anteprojeto de arquitetura</t>
  </si>
  <si>
    <t>PLANILHA ESTIMATIVA DE COMPOSIÇÃO DE BDI​</t>
  </si>
  <si>
    <t>UND</t>
  </si>
  <si>
    <t>QTDE</t>
  </si>
  <si>
    <t>PREÇO UNIT.
(R$)</t>
  </si>
  <si>
    <t>PREÇO TOTAL
(R$)</t>
  </si>
  <si>
    <t>1.1</t>
  </si>
  <si>
    <t>1.3</t>
  </si>
  <si>
    <t>Caderno de encargos, especificações e normas técnicas</t>
  </si>
  <si>
    <t>Memorial descritivo e memória de cálculo</t>
  </si>
  <si>
    <t>Cronograma físico (PERT/COM e GANTT) e físico-financeiro detalhado e planilha orçamentária sintética e analítica com composições de preços unitários, encargos sociais e cálculo de BDI</t>
  </si>
  <si>
    <t>%</t>
  </si>
  <si>
    <t>Total sem BDI (R$)</t>
  </si>
  <si>
    <t>BDI</t>
  </si>
  <si>
    <t>Total Geral com BDI (R$)</t>
  </si>
  <si>
    <t>Arquitetura</t>
  </si>
  <si>
    <t>Projeto de SPDA</t>
  </si>
  <si>
    <t>IR</t>
  </si>
  <si>
    <t>CRONOGRAMA FÍSICO-FINANCEIRO</t>
  </si>
  <si>
    <t>Especialidade</t>
  </si>
  <si>
    <t>Projeto / Serviço Técnico</t>
  </si>
  <si>
    <t>VR</t>
  </si>
  <si>
    <t>Total Arquitetura</t>
  </si>
  <si>
    <t>Total Civil</t>
  </si>
  <si>
    <t>Total Elétrica</t>
  </si>
  <si>
    <t>Mecânica</t>
  </si>
  <si>
    <t>Total Mecânica</t>
  </si>
  <si>
    <t>Total Orçamento</t>
  </si>
  <si>
    <t>somatório das áreas projetadas de pavimento diferenciado (m²)</t>
  </si>
  <si>
    <t>Estudo Preliminar</t>
  </si>
  <si>
    <t>Total Geral</t>
  </si>
  <si>
    <t>Projeto de Aproveitamento de Águas Pluviais</t>
  </si>
  <si>
    <t>Projeto de Fundações</t>
  </si>
  <si>
    <t>Projeto Estrutural em Concreto Armado</t>
  </si>
  <si>
    <t>Projeto de Impermeabilização</t>
  </si>
  <si>
    <t>Projeto Hidrossanitário e de Águas Pluviais</t>
  </si>
  <si>
    <t>onde:</t>
  </si>
  <si>
    <r>
      <t>ΣA</t>
    </r>
    <r>
      <rPr>
        <b/>
        <vertAlign val="subscript"/>
        <sz val="12"/>
        <color theme="1"/>
        <rFont val="Times New Roman"/>
        <family val="1"/>
      </rPr>
      <t>pd</t>
    </r>
  </si>
  <si>
    <r>
      <t>ΣA</t>
    </r>
    <r>
      <rPr>
        <b/>
        <vertAlign val="subscript"/>
        <sz val="12"/>
        <color theme="1"/>
        <rFont val="Times New Roman"/>
        <family val="1"/>
      </rPr>
      <t>pt</t>
    </r>
  </si>
  <si>
    <r>
      <t>ΣA</t>
    </r>
    <r>
      <rPr>
        <b/>
        <vertAlign val="subscript"/>
        <sz val="12"/>
        <color theme="1"/>
        <rFont val="Times New Roman"/>
        <family val="1"/>
      </rPr>
      <t>ge</t>
    </r>
  </si>
  <si>
    <r>
      <t>A</t>
    </r>
    <r>
      <rPr>
        <b/>
        <vertAlign val="subscript"/>
        <sz val="12"/>
        <color theme="1"/>
        <rFont val="Times New Roman"/>
        <family val="1"/>
      </rPr>
      <t>e</t>
    </r>
  </si>
  <si>
    <r>
      <t xml:space="preserve">Projeto Anti-incêndio incluso </t>
    </r>
    <r>
      <rPr>
        <i/>
        <sz val="12"/>
        <color theme="1"/>
        <rFont val="Times New Roman"/>
        <family val="1"/>
      </rPr>
      <t>Sprinklers</t>
    </r>
  </si>
  <si>
    <t>VR =</t>
  </si>
  <si>
    <t>Valor da Remuneração para o projeto ou serviço técnico em Reais (R$)</t>
  </si>
  <si>
    <t>IR =</t>
  </si>
  <si>
    <r>
      <t>A</t>
    </r>
    <r>
      <rPr>
        <vertAlign val="subscript"/>
        <sz val="12"/>
        <color theme="1"/>
        <rFont val="Times New Roman"/>
        <family val="1"/>
      </rPr>
      <t>e</t>
    </r>
    <r>
      <rPr>
        <sz val="12"/>
        <color theme="1"/>
        <rFont val="Times New Roman"/>
        <family val="1"/>
      </rPr>
      <t xml:space="preserve"> =</t>
    </r>
  </si>
  <si>
    <t>área equivalente de remuneração para a edificação, definida do seguinte modo:</t>
  </si>
  <si>
    <t>Índice de Remuneração de projetos ou serviços técnicos, definido pela Caixa Econômica Federal (CEF)</t>
  </si>
  <si>
    <t>valor unitário da hora-técnica em Reais (R$), definido pela CEF</t>
  </si>
  <si>
    <t>Sendo:</t>
  </si>
  <si>
    <t>a =</t>
  </si>
  <si>
    <t>b =</t>
  </si>
  <si>
    <t>c =</t>
  </si>
  <si>
    <r>
      <t>Σ A</t>
    </r>
    <r>
      <rPr>
        <vertAlign val="subscript"/>
        <sz val="12"/>
        <color theme="1"/>
        <rFont val="Times New Roman"/>
        <family val="1"/>
      </rPr>
      <t>pd</t>
    </r>
    <r>
      <rPr>
        <sz val="12"/>
        <color theme="1"/>
        <rFont val="Times New Roman"/>
        <family val="1"/>
      </rPr>
      <t xml:space="preserve"> =</t>
    </r>
  </si>
  <si>
    <r>
      <t>Σ A</t>
    </r>
    <r>
      <rPr>
        <vertAlign val="subscript"/>
        <sz val="12"/>
        <color theme="1"/>
        <rFont val="Times New Roman"/>
        <family val="1"/>
      </rPr>
      <t>pt</t>
    </r>
    <r>
      <rPr>
        <sz val="12"/>
        <color theme="1"/>
        <rFont val="Times New Roman"/>
        <family val="1"/>
      </rPr>
      <t xml:space="preserve"> =</t>
    </r>
  </si>
  <si>
    <r>
      <t>Σ A</t>
    </r>
    <r>
      <rPr>
        <vertAlign val="subscript"/>
        <sz val="12"/>
        <color theme="1"/>
        <rFont val="Times New Roman"/>
        <family val="1"/>
      </rPr>
      <t>ge</t>
    </r>
    <r>
      <rPr>
        <sz val="12"/>
        <color theme="1"/>
        <rFont val="Times New Roman"/>
        <family val="1"/>
      </rPr>
      <t xml:space="preserve"> =</t>
    </r>
  </si>
  <si>
    <t>somatório das áreas projetadas de pavimento tipo (m²)</t>
  </si>
  <si>
    <t>Projeto de Sonorização de Ambiente</t>
  </si>
  <si>
    <t>Projeto de Entrada de Energia</t>
  </si>
  <si>
    <t>Projeto Luminotécnico</t>
  </si>
  <si>
    <t>Projeto de Elétrica de Energia de Rede Comum</t>
  </si>
  <si>
    <t xml:space="preserve">Projeto de Instalação Elétrica - Rede Ininterrupta </t>
  </si>
  <si>
    <t xml:space="preserve">Projeto de Cabeamento Estruturado - Rede Lógica </t>
  </si>
  <si>
    <t>Projeto de Segurança – Alarmes</t>
  </si>
  <si>
    <t>Projeto de Segurança – Controle de acesso</t>
  </si>
  <si>
    <t>Projeto de Entrada de Telecomunicações</t>
  </si>
  <si>
    <t>Projeto de Automação e Inteligência Predial</t>
  </si>
  <si>
    <t>Projeto de Automação – Subsistema ar condicionado</t>
  </si>
  <si>
    <t>Projeto de Automação – Subsistema energia elétrica</t>
  </si>
  <si>
    <t>Projeto de Elétrica de Energia Estabilizada</t>
  </si>
  <si>
    <t>Eng.º Civil =</t>
  </si>
  <si>
    <t>Arquiteto =</t>
  </si>
  <si>
    <t>Geral</t>
  </si>
  <si>
    <t>Projeto de Ventilação – com rede de dutos e acessórios</t>
  </si>
  <si>
    <t>Orçamento Detalhado por Itens</t>
  </si>
  <si>
    <t>Coordenação e compatibilização de Projetos</t>
  </si>
  <si>
    <r>
      <t xml:space="preserve">Projeto de Central de Água Gelada com uso de </t>
    </r>
    <r>
      <rPr>
        <i/>
        <sz val="12"/>
        <color theme="1"/>
        <rFont val="Times New Roman"/>
        <family val="1"/>
      </rPr>
      <t>Chillers</t>
    </r>
  </si>
  <si>
    <t>m²</t>
  </si>
  <si>
    <t>HT</t>
  </si>
  <si>
    <t>HT =</t>
  </si>
  <si>
    <t>Eng.º Elet. e Mec. =</t>
  </si>
  <si>
    <t>ADMINISTRAÇÃO CENTRAL (AC)</t>
  </si>
  <si>
    <t>SEGUROS + GARANTIAS (S + G)</t>
  </si>
  <si>
    <t>DESPESAS FINANCEIRAS (DF)</t>
  </si>
  <si>
    <t>IMPOSTOS (I)</t>
  </si>
  <si>
    <t>LUCRO (L)</t>
  </si>
  <si>
    <t xml:space="preserve">RISCOS (R) </t>
  </si>
  <si>
    <t>Projeto de Segurança – CFTV</t>
  </si>
  <si>
    <r>
      <t xml:space="preserve">somatório das áreas projetadas de garagem/estacionamento (m²).
</t>
    </r>
    <r>
      <rPr>
        <sz val="8"/>
        <color theme="1"/>
        <rFont val="Times New Roman"/>
        <family val="1"/>
      </rPr>
      <t>(Somente para o Projeto de Arquitetura, Projeto Estrutural e Fundações, Projetos Elétricos, Projeto Hidrossanitário, Projeto Anti-incêndio, Orçamento Detalhado por Itens, Cronograma e Coordenação Técnica)</t>
    </r>
  </si>
  <si>
    <t>Topografia e Sondagem</t>
  </si>
  <si>
    <t>m</t>
  </si>
  <si>
    <t>und</t>
  </si>
  <si>
    <t>Qtde</t>
  </si>
  <si>
    <t>Profund.</t>
  </si>
  <si>
    <t>Total</t>
  </si>
  <si>
    <t>V. Unit.</t>
  </si>
  <si>
    <t>V. Total</t>
  </si>
  <si>
    <t>Levantamento Topográfico, Planialtimétrico e Cadastral
(ORSE/SE 9346)</t>
  </si>
  <si>
    <t>Sondagem a percussão p/ reconhecimento do solo
(SEINFRA/CE C2290)</t>
  </si>
  <si>
    <t>-</t>
  </si>
  <si>
    <t>Total Topog. e Sondagem</t>
  </si>
  <si>
    <r>
      <t>ΣA</t>
    </r>
    <r>
      <rPr>
        <b/>
        <vertAlign val="subscript"/>
        <sz val="12"/>
        <color theme="1"/>
        <rFont val="Times New Roman"/>
        <family val="1"/>
      </rPr>
      <t>pd</t>
    </r>
    <r>
      <rPr>
        <b/>
        <sz val="12"/>
        <color theme="1"/>
        <rFont val="Times New Roman"/>
        <family val="1"/>
      </rPr>
      <t>:</t>
    </r>
  </si>
  <si>
    <r>
      <t>ΣA</t>
    </r>
    <r>
      <rPr>
        <b/>
        <vertAlign val="subscript"/>
        <sz val="12"/>
        <color theme="1"/>
        <rFont val="Times New Roman"/>
        <family val="1"/>
      </rPr>
      <t>ge</t>
    </r>
    <r>
      <rPr>
        <b/>
        <sz val="12"/>
        <color theme="1"/>
        <rFont val="Times New Roman"/>
        <family val="1"/>
      </rPr>
      <t>:</t>
    </r>
  </si>
  <si>
    <t>QTDE (% do Preço Global)</t>
  </si>
  <si>
    <t>Civil</t>
  </si>
  <si>
    <t>Elétrica</t>
  </si>
  <si>
    <r>
      <t>ΣA</t>
    </r>
    <r>
      <rPr>
        <b/>
        <vertAlign val="subscript"/>
        <sz val="12"/>
        <color rgb="FFFF0000"/>
        <rFont val="Times New Roman"/>
        <family val="1"/>
      </rPr>
      <t>pt</t>
    </r>
    <r>
      <rPr>
        <b/>
        <sz val="12"/>
        <color rgb="FFFF0000"/>
        <rFont val="Times New Roman"/>
        <family val="1"/>
      </rPr>
      <t>:</t>
    </r>
  </si>
  <si>
    <t>PLANILHA DE COMPOSIÇÃO DOS CUSTOS UNITÁRIOS</t>
  </si>
  <si>
    <t>ANEXO V</t>
  </si>
  <si>
    <t>Projeto de Instalação Elétrica - Usina de Descentralização de Energia Fotovoltaica</t>
  </si>
  <si>
    <t>Depósitos:</t>
  </si>
  <si>
    <t>Projeto de Arquitetura – Ambiência (AMB)</t>
  </si>
  <si>
    <t>ht1 =</t>
  </si>
  <si>
    <t>valor unitário da hora-técnica em Reais (R$), proposto pela empresa</t>
  </si>
  <si>
    <t>Vo</t>
  </si>
  <si>
    <t>ht1</t>
  </si>
  <si>
    <t>Valor da Remuneração para o projeto ou serviço técnico em Reais (R$) [Tabela C5]</t>
  </si>
  <si>
    <t>Levantamento de quantidades</t>
  </si>
  <si>
    <t>PLANILHA DE COMPOSIÇÃO DE BDI</t>
  </si>
  <si>
    <t xml:space="preserve">Proponente: </t>
  </si>
  <si>
    <t>Tipo de Obra:</t>
  </si>
  <si>
    <r>
      <t>Desonerado:</t>
    </r>
    <r>
      <rPr>
        <b/>
        <sz val="7"/>
        <color rgb="FF000000"/>
        <rFont val="Times New Roman"/>
        <family val="1"/>
      </rPr>
      <t xml:space="preserve"> </t>
    </r>
  </si>
  <si>
    <t>Empreendimento:</t>
  </si>
  <si>
    <t xml:space="preserve">Município Aplicável: </t>
  </si>
  <si>
    <t>1º Quartil</t>
  </si>
  <si>
    <t>Médio</t>
  </si>
  <si>
    <t>3º Quartil</t>
  </si>
  <si>
    <t>Garantia e Seguro (GS)</t>
  </si>
  <si>
    <t>Despesas financeiras (Df)</t>
  </si>
  <si>
    <t>Administração Central (Ac)</t>
  </si>
  <si>
    <t>Lucro (L)</t>
  </si>
  <si>
    <t>Risco (R)</t>
  </si>
  <si>
    <t>Impostos (I)</t>
  </si>
  <si>
    <t>6.1</t>
  </si>
  <si>
    <t>6.2</t>
  </si>
  <si>
    <t>6.3</t>
  </si>
  <si>
    <t>ISS</t>
  </si>
  <si>
    <t>6.4</t>
  </si>
  <si>
    <t>CPRB - Lei 12.546/11</t>
  </si>
  <si>
    <t>não aplicável</t>
  </si>
  <si>
    <t>Composição de BDI Adotada</t>
  </si>
  <si>
    <t>BDI Proposto</t>
  </si>
  <si>
    <t>BDI = (((1 + AC + R + S + G) x (1 + DF) x (1 + l))/(1 - I)-1) x 100</t>
  </si>
  <si>
    <t>Observações:</t>
  </si>
  <si>
    <t>i) Composição do BDI, intervalos admissíveis e fórmula de
cálculo nos termos do Acórdão 2622/2013 do TCU. Foi
considerado, por similaridade, o item construção de edifícios.</t>
  </si>
  <si>
    <t>ii) Tributos adotados = PIS+COFINS+ISS</t>
  </si>
  <si>
    <r>
      <t xml:space="preserve">Declaro para os devidos fins que o Regime de Incidência do PIS e Cofins da empresa é o </t>
    </r>
    <r>
      <rPr>
        <b/>
        <sz val="8.5"/>
        <color rgb="FF000000"/>
        <rFont val="Times New Roman"/>
        <family val="1"/>
      </rPr>
      <t>REGIME DE INCIDÊNCIA [NÃO] CUMULATIVA</t>
    </r>
    <r>
      <rPr>
        <sz val="8.5"/>
        <color rgb="FF000000"/>
        <rFont val="Times New Roman"/>
        <family val="1"/>
      </rPr>
      <t xml:space="preserve">.
</t>
    </r>
    <r>
      <rPr>
        <b/>
        <sz val="8.5"/>
        <color rgb="FF000000"/>
        <rFont val="Times New Roman"/>
        <family val="1"/>
      </rPr>
      <t>Ou</t>
    </r>
    <r>
      <rPr>
        <sz val="8.5"/>
        <color rgb="FF000000"/>
        <rFont val="Times New Roman"/>
        <family val="1"/>
      </rPr>
      <t xml:space="preserve">
Declaro para os devidos fins que a empresa é optante pelo pelo regime de tributação favorecido e diferenciado do</t>
    </r>
    <r>
      <rPr>
        <b/>
        <sz val="8.5"/>
        <color rgb="FF000000"/>
        <rFont val="Times New Roman"/>
        <family val="1"/>
      </rPr>
      <t xml:space="preserve"> SIMPLES NACIONAL</t>
    </r>
    <r>
      <rPr>
        <sz val="8.5"/>
        <color rgb="FF000000"/>
        <rFont val="Times New Roman"/>
        <family val="1"/>
      </rPr>
      <t>.</t>
    </r>
  </si>
  <si>
    <t>Obtenção de um BDI Referencial</t>
  </si>
  <si>
    <r>
      <t xml:space="preserve">Faixas de referência constantes do </t>
    </r>
    <r>
      <rPr>
        <b/>
        <sz val="7"/>
        <color rgb="FF000000"/>
        <rFont val="Times New Roman"/>
        <family val="1"/>
      </rPr>
      <t>Acórdão 2.622/2013</t>
    </r>
    <r>
      <rPr>
        <sz val="7"/>
        <color rgb="FF000000"/>
        <rFont val="Times New Roman"/>
        <family val="1"/>
      </rPr>
      <t xml:space="preserve"> - Plenário</t>
    </r>
  </si>
  <si>
    <t xml:space="preserve">Média </t>
  </si>
  <si>
    <t>Mês/Ano</t>
  </si>
  <si>
    <t>DF =</t>
  </si>
  <si>
    <r>
      <t xml:space="preserve">Projeto de arquitetura, incluindo </t>
    </r>
    <r>
      <rPr>
        <i/>
        <sz val="12"/>
        <rFont val="Times New Roman"/>
        <family val="1"/>
      </rPr>
      <t>layout, projetos de demolição e execução de alvenaria</t>
    </r>
  </si>
  <si>
    <t>Projeto de Elétrica de Energia de Rede Comum (ERC)</t>
  </si>
  <si>
    <t>SINAPI:</t>
  </si>
  <si>
    <t xml:space="preserve">DATA BASE: </t>
  </si>
  <si>
    <t>Código</t>
  </si>
  <si>
    <t>Espec.</t>
  </si>
  <si>
    <t>Valor</t>
  </si>
  <si>
    <t>Eng.º Civil</t>
  </si>
  <si>
    <t>Arquiteto</t>
  </si>
  <si>
    <t>Eng.º Elet. e Mec.</t>
  </si>
  <si>
    <t>2.1</t>
  </si>
  <si>
    <t>OBSERVAÇÕES:
• 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</si>
  <si>
    <t>(MEMÓRIA DE CÁLCULO)</t>
  </si>
  <si>
    <t>(PLANILHA ORÇAMENTÁRIA)</t>
  </si>
  <si>
    <t>Proj.</t>
  </si>
  <si>
    <t>LOCAL:</t>
  </si>
  <si>
    <t>DATA BASE:</t>
  </si>
  <si>
    <t xml:space="preserve">PROPR: </t>
  </si>
  <si>
    <t>OBRA</t>
  </si>
  <si>
    <t>BANCOS</t>
  </si>
  <si>
    <t>SINAPI+
Tab. Ref. DEA e CEF</t>
  </si>
  <si>
    <t>Encargos Sociais</t>
  </si>
  <si>
    <t xml:space="preserve"> POLÍCIA FEDERAL</t>
  </si>
  <si>
    <t>PREÇO
 TOTAL
(R$)</t>
  </si>
  <si>
    <t>(PLANILHA SINTÉTICA C/ CURVA ABC)</t>
  </si>
  <si>
    <t>Curva ABC (%)</t>
  </si>
  <si>
    <t>5.4</t>
  </si>
  <si>
    <t>ISS (*1)</t>
  </si>
  <si>
    <t xml:space="preserve"> CPRB (*2)</t>
  </si>
  <si>
    <r>
      <t>CÁLCULO DO BDI (*3)</t>
    </r>
    <r>
      <rPr>
        <b/>
        <sz val="12"/>
        <rFont val="Times New Roman"/>
        <family val="1"/>
      </rPr>
      <t>:</t>
    </r>
  </si>
  <si>
    <t xml:space="preserve">(*2) CPRB (Contribuição Previdenciária sobre a Receita Bruta): Alíquota definida pela lei 12.546/2011
</t>
  </si>
  <si>
    <t>Depósito de materiais 1</t>
  </si>
  <si>
    <t>Depósito de materiais 2</t>
  </si>
  <si>
    <t>Depósito de materiais 3</t>
  </si>
  <si>
    <t>Depósito de materiais 4 (externo)</t>
  </si>
  <si>
    <t>Ventilação:</t>
  </si>
  <si>
    <t>Limites = (1º Q) 20,34% (M) 22,12% e (3ºQ) 25,00%</t>
  </si>
  <si>
    <t>Taxa Selic últimos
12 meses (Ago 2022 - Jul 2023)</t>
  </si>
  <si>
    <t>DF = (1 + 1,07/100)^(22/252)</t>
  </si>
  <si>
    <t>DESCRIÇÃO DOS SERVIÇOS</t>
  </si>
  <si>
    <t>UNID.</t>
  </si>
  <si>
    <t>QUANT.</t>
  </si>
  <si>
    <t>Preço Unit.</t>
  </si>
  <si>
    <t>Total s/ BDI</t>
  </si>
  <si>
    <t xml:space="preserve">Ref.: </t>
  </si>
  <si>
    <t>ESTIMATIVA DE CUSTOS</t>
  </si>
  <si>
    <t>Instalação com fornecimento de passarelas incluindo mão de obra, peças, equipamentos, material e demais insumos</t>
  </si>
  <si>
    <t>m2</t>
  </si>
  <si>
    <t>Contratação dos projetos básicos e executivos para reforma dos depósitos da SR/PF/DF</t>
  </si>
  <si>
    <t>Foi utilizado como referência de preços o valor unitário do Contrato nº 17/2021/ENAP, datado de 08/12/2021, decorrente do Pregão Eletrônico - SRP nº 15/2021, contido no Proc. SEI nº 04600.001882/2021-55.</t>
  </si>
  <si>
    <t>Instalação com fornecimento de passarelas incluindo mão de obra, peças, equipamentos, material e demais insumos, no acesso interno à DRE.</t>
  </si>
  <si>
    <t>1.0</t>
  </si>
  <si>
    <t>2.2</t>
  </si>
  <si>
    <t>Revitalização do estacionamento coberto (subsolo)</t>
  </si>
  <si>
    <t>Obra</t>
  </si>
  <si>
    <t>Bancos</t>
  </si>
  <si>
    <t>B.D.I.</t>
  </si>
  <si>
    <t>DEPÓSITO - SR/PF/PR</t>
  </si>
  <si>
    <t>SINAPI - 06/2021 - Paraná</t>
  </si>
  <si>
    <t>Desonerado: embutido nos preços unitário dos insumos de mão de obra, de acordo com as bases.</t>
  </si>
  <si>
    <t>DEPÓSITO - SR/PF/DF</t>
  </si>
  <si>
    <t xml:space="preserve">SINAPI - 07/2023 - Distrito Federal
</t>
  </si>
  <si>
    <t>INCC:</t>
  </si>
  <si>
    <t>Orçamento Sintético</t>
  </si>
  <si>
    <t>Item</t>
  </si>
  <si>
    <t>Banco</t>
  </si>
  <si>
    <t>Descrição</t>
  </si>
  <si>
    <t>Und</t>
  </si>
  <si>
    <t>Quant.</t>
  </si>
  <si>
    <t>V. Unit. s/ INCC</t>
  </si>
  <si>
    <t>Valor Unit com BDI</t>
  </si>
  <si>
    <t>Valor Total com BDI</t>
  </si>
  <si>
    <t>Peso (%)</t>
  </si>
  <si>
    <t xml:space="preserve"> 1 </t>
  </si>
  <si>
    <t>SERVIÇOS PELIMINARES</t>
  </si>
  <si>
    <t xml:space="preserve"> 1.1 </t>
  </si>
  <si>
    <t>INSTALAÇÕES PROVISÓRIAS</t>
  </si>
  <si>
    <t xml:space="preserve"> 1.1.1 </t>
  </si>
  <si>
    <t xml:space="preserve"> 73847/001 </t>
  </si>
  <si>
    <t>SINAPI</t>
  </si>
  <si>
    <t>ALUGUEL CONTAINER/ESCRIT INCL INST ELET LARG=2,20 COMP=6,20M          ALT=2,50M CHAPA ACO C/NERV TRAPEZ FORRO C/ISOL TERMO/ACUSTICO         CHASSIS REFORC PISO COMPENS NAVAL EXC TRANSP/CARGA/DESCARGA</t>
  </si>
  <si>
    <t>MES</t>
  </si>
  <si>
    <t xml:space="preserve"> 1.1.2 </t>
  </si>
  <si>
    <t xml:space="preserve"> 74209/001 </t>
  </si>
  <si>
    <t>PLACA DE OBRA EM CHAPA DE ACO GALVANIZADO</t>
  </si>
  <si>
    <t xml:space="preserve"> 1.1.3 </t>
  </si>
  <si>
    <t xml:space="preserve"> 74220/001 </t>
  </si>
  <si>
    <t>TAPUME DE CHAPA DE MADEIRA COMPENSADA, E= 6MM, COM PINTURA A CAL E REAPROVEITAMENTO DE 2X</t>
  </si>
  <si>
    <t xml:space="preserve"> 1.1.4 </t>
  </si>
  <si>
    <t xml:space="preserve"> 97637 </t>
  </si>
  <si>
    <t>REMOÇÃO DE TAPUME/ CHAPAS METÁLICAS E DE MADEIRA, DE FORMA MANUAL, SEM REAPROVEITAMENTO. AF_12/2017</t>
  </si>
  <si>
    <t xml:space="preserve"> 1.1.5 </t>
  </si>
  <si>
    <t xml:space="preserve"> LOC-01 </t>
  </si>
  <si>
    <t>Próprio</t>
  </si>
  <si>
    <t>LOCAÇÃO DE CAÇAMBA DE ENTULHO</t>
  </si>
  <si>
    <t>SEM</t>
  </si>
  <si>
    <t xml:space="preserve"> 2 </t>
  </si>
  <si>
    <t>FASE DE OBRA NOS DEPÓSITOS</t>
  </si>
  <si>
    <t xml:space="preserve"> 2.1 </t>
  </si>
  <si>
    <t>DEMOLIÇÃO E REMOÇÃO</t>
  </si>
  <si>
    <t xml:space="preserve"> 2.1.2 </t>
  </si>
  <si>
    <t xml:space="preserve"> 97644 </t>
  </si>
  <si>
    <t>REMOÇÃO DE PORTAS, DE FORMA MANUAL, SEM REAPROVEITAMENTO. AF_12/2017</t>
  </si>
  <si>
    <t xml:space="preserve"> 97638 </t>
  </si>
  <si>
    <t>REMOÇÃO DE CHAPAS E PERFIS DE DRYWALL, DE FORMA MANUAL, SEM REAPROVEITAMENTO. AF_12/2017</t>
  </si>
  <si>
    <t xml:space="preserve"> 2.1.3 </t>
  </si>
  <si>
    <t xml:space="preserve"> 97622 </t>
  </si>
  <si>
    <t>DEMOLIÇÃO DE ALVENARIA DE BLOCO FURADO, DE FORMA MANUAL, SEM REAPROVEITAMENTO. AF_12/2017</t>
  </si>
  <si>
    <t>m³</t>
  </si>
  <si>
    <t xml:space="preserve"> 2.2 </t>
  </si>
  <si>
    <t>ALVENARIA</t>
  </si>
  <si>
    <t xml:space="preserve"> 2.2.1 </t>
  </si>
  <si>
    <t xml:space="preserve"> 87468 </t>
  </si>
  <si>
    <t>ALVENARIA DE VEDAÇÃO DE BLOCOS VAZADOS DE CONCRETO DE 14X19X39CM (ESPESSURA 14CM) DE PAREDES COM ÁREA LÍQUIDA MAIOR OU IGUAL A 6M² COM VÃOS E ARGAMASSA DE ASSENTAMENTO COM PREPARO MANUAL. AF_06/2014</t>
  </si>
  <si>
    <t xml:space="preserve"> 2.2.2 </t>
  </si>
  <si>
    <t xml:space="preserve"> 88415 </t>
  </si>
  <si>
    <t>APLICAÇÃO MANUAL DE FUNDO SELADOR ACRÍLICO EM PAREDES EXTERNAS DE CASAS. AF_06/2014</t>
  </si>
  <si>
    <t xml:space="preserve"> 2.2.3 </t>
  </si>
  <si>
    <t xml:space="preserve"> 88489 </t>
  </si>
  <si>
    <t>PINTURA LÁTEX ACRÍLICA PREMIUM, APLICAÇÃO MANUAL EM PAREDES, DUAS DEMÃOS. AF_04/2023</t>
  </si>
  <si>
    <t xml:space="preserve"> 2.3 </t>
  </si>
  <si>
    <t>PISOS</t>
  </si>
  <si>
    <t xml:space="preserve"> 2.3.1 </t>
  </si>
  <si>
    <t xml:space="preserve"> 102494 </t>
  </si>
  <si>
    <t>PINTURA DE PISO COM TINTA EPÓXI, APLICAÇÃO MANUAL, 2 DEMÃOS, INCLUSO PRIMER EPÓXI. AF_05/2021</t>
  </si>
  <si>
    <t xml:space="preserve"> 2.4 </t>
  </si>
  <si>
    <t>INSTALAÇÃO DE SISTEMAS E PORTAS</t>
  </si>
  <si>
    <t xml:space="preserve"> 2.4.1 </t>
  </si>
  <si>
    <t xml:space="preserve"> 94213 </t>
  </si>
  <si>
    <t>TELHAMENTO COM TELHA DE AÇO/ALUMÍNIO E = 0,5 MM, COM ATÉ 2 ÁGUAS, INCLUSO IÇAMENTO. AF_07/2019</t>
  </si>
  <si>
    <t xml:space="preserve"> 2.4.2 </t>
  </si>
  <si>
    <t xml:space="preserve"> FISEF-RN </t>
  </si>
  <si>
    <t>FORNECIMENTO E INSTALAÇÃO DE SISTEMA DE EXAUSTÃO FORÇADA COM DUAS CAIXAS EXAUSTORAS COM MOTOR DE 1,5 CV TRIFASICO 4 PÓLOS. DE ACORDO COM O ITEM 5.4.3.1 DO CEET.</t>
  </si>
  <si>
    <t>UN</t>
  </si>
  <si>
    <t xml:space="preserve"> 2.4.3 </t>
  </si>
  <si>
    <t xml:space="preserve"> FIPM-RN </t>
  </si>
  <si>
    <t>FORNECIMENTO E INSTALAÇÃO DE TRÊS PORTAS METÁLICAS FOLHA DUPLA 1,20 X 2,10 M. DE ACORDO COM O ITEM 5.4.2.1 DO CEET</t>
  </si>
  <si>
    <t xml:space="preserve"> 2.4.4 </t>
  </si>
  <si>
    <t xml:space="preserve"> GF-RN </t>
  </si>
  <si>
    <t>FORNECIMENTO E INSTALAÇÃO DE GRADIL DE FERRO COM PORTA DUPLA 1,20 X 2,10 M. DE ACORDO COM O ITEM 5.4.2.2. DO CEET.</t>
  </si>
  <si>
    <t xml:space="preserve"> 2.4.5 </t>
  </si>
  <si>
    <t xml:space="preserve"> RCS-RN </t>
  </si>
  <si>
    <t>REINSTALAÇÃO DAS CÂMERAS DE SEGURANÇA DOS DEPÓSITOS</t>
  </si>
  <si>
    <t xml:space="preserve"> 3 </t>
  </si>
  <si>
    <t>INSTALAÇÕES ELÉTRICAS</t>
  </si>
  <si>
    <t xml:space="preserve"> 3.1 </t>
  </si>
  <si>
    <t xml:space="preserve"> 91926 </t>
  </si>
  <si>
    <t>CABO DE COBRE FLEXÍVEL ISOLADO, 2,5 MM², ANTI-CHAMA 450/750 V, PARA CIRCUITOS TERMINAIS - FORNECIMENTO E INSTALAÇÃO. AF_03/2023</t>
  </si>
  <si>
    <t>M</t>
  </si>
  <si>
    <t xml:space="preserve"> 3.2 </t>
  </si>
  <si>
    <t xml:space="preserve"> 91928 </t>
  </si>
  <si>
    <t>CABO DE COBRE FLEXÍVEL ISOLADO, 4 MM², ANTI-CHAMA 450/750 V, PARA CIRCUITOS TERMINAIS - FORNECIMENTO E INSTALAÇÃO. AF_03/2023</t>
  </si>
  <si>
    <t xml:space="preserve"> 3.3 </t>
  </si>
  <si>
    <t xml:space="preserve"> LPL18-RN </t>
  </si>
  <si>
    <t>LUMINÁRIA TIPO PLAFON DE SOBREPOR COM LAMPADA LED 18W, SEM REATOR, FORNECIMENTO E INSTALAÇÃO. DE ACORDO COM O ITEM 5.4.4.3 DO CEET</t>
  </si>
  <si>
    <t xml:space="preserve"> 3.4 </t>
  </si>
  <si>
    <t xml:space="preserve"> 95745-EAG- (3/5") </t>
  </si>
  <si>
    <t>ELETRODUTO DE AÇO GALVANIZADO, CLASSE LEVE, DN 20 MM (3/4"), APARENTE, INSTALADO EM TETO - FORNECIMENTO E INSTALAÇÃO. AF_11/2016_P. DE ACORDO COM O ITEM 5.4.4.4 DO CEET</t>
  </si>
  <si>
    <t xml:space="preserve"> 3.5 </t>
  </si>
  <si>
    <t xml:space="preserve"> 91959 </t>
  </si>
  <si>
    <t>INTERRUPTOR SIMPLES (2 MÓDULOS), 10A/250V, INCLUINDO SUPORTE E PLACA - FORNECIMENTO E INSTALAÇÃO. AF_03/2023</t>
  </si>
  <si>
    <t xml:space="preserve"> 3.6 </t>
  </si>
  <si>
    <t xml:space="preserve"> 91996 </t>
  </si>
  <si>
    <t>TOMADA MÉDIA DE EMBUTIR (1 MÓDULO), 2P+T 10 A, INCLUINDO SUPORTE E PLACA - FORNECIMENTO E INSTALAÇÃO. AF_03/2023</t>
  </si>
  <si>
    <t xml:space="preserve"> 3.7 </t>
  </si>
  <si>
    <t xml:space="preserve"> 92867-CRA </t>
  </si>
  <si>
    <t>CAIXA RETANGULAR 4" X 2" ALTA (2,00 M DO PISO), METÁLICA, INSTALADA EM PAREDE, SOBREPOR - FORNECIMENTO E INSTALAÇÃO. AF_12/2015. DE ACORDO COM O ITEM 5.4.4.7 DO CEET</t>
  </si>
  <si>
    <t xml:space="preserve"> 3.8 </t>
  </si>
  <si>
    <t xml:space="preserve"> 98307 </t>
  </si>
  <si>
    <t>TOMADA DE REDE RJ45 - FORNECIMENTO E INSTALAÇÃO. AF_11/2019</t>
  </si>
  <si>
    <t xml:space="preserve"> 3.9 </t>
  </si>
  <si>
    <t xml:space="preserve"> 98295 </t>
  </si>
  <si>
    <t>CABO ELETRÔNICO CATEGORIA 5E, INSTALADO EM EDIFICAÇÃO INSTITUCIONAL - FORNECIMENTO E INSTALAÇÃO. AF_11/2019</t>
  </si>
  <si>
    <t xml:space="preserve"> 3.10 </t>
  </si>
  <si>
    <t xml:space="preserve"> 92867-CRB </t>
  </si>
  <si>
    <t>DISJUNTOR TRIPOLAR TIPO DIN, CORRENTE NOMINAL DE 16A - FORNECIMENTO E INSTALAÇÃO. AF_10/2020. DE ACORDO COM O ITEM 5.4.4.10 DO CEET</t>
  </si>
  <si>
    <t xml:space="preserve"> 3.11 </t>
  </si>
  <si>
    <t xml:space="preserve"> 92868-CRM </t>
  </si>
  <si>
    <t>CAIXA RETANGULAR 4" X 2" MÉDIA (1,30 M DO PISO), METÁLICA, INSTALADA EM PAREDE - FORNECIMENTO E INSTALAÇÃO. AF_12/2015. DE ACORDO COM O ITEM 5.4.4.11 DO CEET.</t>
  </si>
  <si>
    <t xml:space="preserve"> 4 </t>
  </si>
  <si>
    <t>SERVIÇOS FINAIS</t>
  </si>
  <si>
    <t xml:space="preserve"> 4.1 </t>
  </si>
  <si>
    <t xml:space="preserve"> 2450 </t>
  </si>
  <si>
    <t>Limpeza geral</t>
  </si>
  <si>
    <t>M²</t>
  </si>
  <si>
    <t xml:space="preserve"> 4.2 </t>
  </si>
  <si>
    <t xml:space="preserve"> 2451 </t>
  </si>
  <si>
    <t>Limpeza/remoção de tintas em pisos e revestimentos</t>
  </si>
  <si>
    <t xml:space="preserve"> 5 </t>
  </si>
  <si>
    <t>MÃO DE OBRA RESIDENTE</t>
  </si>
  <si>
    <t xml:space="preserve"> 5.1 </t>
  </si>
  <si>
    <t xml:space="preserve"> 90778 </t>
  </si>
  <si>
    <t>ENGENHEIRO CIVIL DE OBRA PLENO COM ENCARGOS COMPLEMENTARES</t>
  </si>
  <si>
    <t>H</t>
  </si>
  <si>
    <t xml:space="preserve"> 5.2 </t>
  </si>
  <si>
    <t xml:space="preserve"> 90780 </t>
  </si>
  <si>
    <t>MESTRE DE OBRAS COM ENCARGOS COMPLEMENTARES</t>
  </si>
  <si>
    <t>Total sem BDI</t>
  </si>
  <si>
    <t>Total do BDI</t>
  </si>
  <si>
    <t>_______________________________________________________________
Engenharia Civil II
Engenheiro Civil</t>
  </si>
  <si>
    <t>Quant. Adap</t>
  </si>
  <si>
    <t>Valor Total sem BDI</t>
  </si>
  <si>
    <t>Depósito de droga da SR/PF/PR</t>
  </si>
  <si>
    <t>m3</t>
  </si>
  <si>
    <t>Total do item</t>
  </si>
  <si>
    <t>Serviço de bombeamento de concreto com consumo mínimo de (disponibilização de bomba), sem o lançamento</t>
  </si>
  <si>
    <t xml:space="preserve">SINAPI </t>
  </si>
  <si>
    <t>2.3</t>
  </si>
  <si>
    <t>Revitalização da grade e portões do estacionamento do UTRAN</t>
  </si>
  <si>
    <t>Obs.:</t>
  </si>
  <si>
    <t>2.4</t>
  </si>
  <si>
    <t>Readequação das instações da DELDIA e plantão da SR/PF/DF.</t>
  </si>
  <si>
    <t>Item/Espec</t>
  </si>
  <si>
    <t>Reforma de instalações da SR/PF/DF</t>
  </si>
  <si>
    <t>.</t>
  </si>
  <si>
    <t>Os itens SINAPI da planilha da reforma de instalações da SR/PF/DF foram atualizados para a praça Brasília/DF data ref. Téc. 07/2023, Desonerado, com BDI de 24,92%; e os itens cotados foram atualizados pelo índice INCC (Fev/2022 a Jul/2023: 10,65%).</t>
  </si>
  <si>
    <t>Subtotal do item</t>
  </si>
  <si>
    <t>2.2.1</t>
  </si>
  <si>
    <t>2.2.2</t>
  </si>
  <si>
    <t>2.2.3</t>
  </si>
  <si>
    <t>2.3.1</t>
  </si>
  <si>
    <t>Fechamento do pátio de veículos apreendidos da SR/PF/DF</t>
  </si>
  <si>
    <t>Alambrado para quadra poliesportiva, estruturado por tubos de aço galvanizado, (montantes com diâmetro 2", travessas e escoras com diâmetro 1 ¼), com tela de arame galvanizado, fio 14 BWG e malha quadrada 5x5cm (exceto mureta). Af_03/2021</t>
  </si>
  <si>
    <t>é o valor total da obra ou serviço [em R$] do item 2.0, que foi estimado em:</t>
  </si>
  <si>
    <t>ETAPA 1.1</t>
  </si>
  <si>
    <t>ETAPA 1.3</t>
  </si>
  <si>
    <t>ETAPA 1.2</t>
  </si>
  <si>
    <t>Vo[1]=</t>
  </si>
  <si>
    <t>Vo[2.1]=</t>
  </si>
  <si>
    <t>Vo[2.2]=</t>
  </si>
  <si>
    <t>Vo[2.3]=</t>
  </si>
  <si>
    <t>Vo[2.4]=</t>
  </si>
  <si>
    <t>Vo[2]=</t>
  </si>
  <si>
    <t>é o valor total da obra ou serviço [em R$] do item 2.4, que foi estimado em:</t>
  </si>
  <si>
    <t>é o valor total da obra ou serviço [em R$] do item 2.3, que foi estimado em:</t>
  </si>
  <si>
    <t>é o valor total da obra ou serviço [em R$] do item 2.2, que foi estimado em:</t>
  </si>
  <si>
    <t>é o valor total da obra ou serviço [em R$] do item 2.1, que foi estimado em:</t>
  </si>
  <si>
    <t>Foi utilizada como referência de preços a Planilha orçamentaria da reforma de instalações da SR/PF/DF, com ref. Preço SINAPI - 02/2022 - Brasília; Desonerado, contida no Proc. SEI nº 08280.016361/2021-13 (doc. 22289233), sem o item da cobertura e aplicando desconto proporcional aos itens 1, 2 e 14 da planilha.</t>
  </si>
  <si>
    <t>Vo[estr]=</t>
  </si>
  <si>
    <t>é o valor total da obra ou serviço [em R$] p/ proj. estrut, que foi estimado em:</t>
  </si>
  <si>
    <r>
      <t xml:space="preserve">Projeto de arquitetura, incluindo </t>
    </r>
    <r>
      <rPr>
        <i/>
        <sz val="12"/>
        <rFont val="Times New Roman"/>
        <family val="1"/>
      </rPr>
      <t>layout, estudo preliminar e anteprojeto</t>
    </r>
  </si>
  <si>
    <t>1.4.1</t>
  </si>
  <si>
    <t>1.4.2</t>
  </si>
  <si>
    <t>1.4.3</t>
  </si>
  <si>
    <t>1.4.4</t>
  </si>
  <si>
    <t>Projeto de Elétrica de Energia de Rede Comum (ERC), luminotécnico e de lógica</t>
  </si>
  <si>
    <t>2.4.1</t>
  </si>
  <si>
    <t>2.4.2</t>
  </si>
  <si>
    <t>2.4.3</t>
  </si>
  <si>
    <t>2.4.4</t>
  </si>
  <si>
    <t>Total do item com BDI (R$)</t>
  </si>
  <si>
    <t>Os itens SINAPI da planilha do depósito de droga da SR/PF/PR foram atualizados para a praça Brasília/DF data ref. Téc. 07/2023, Desonerado, com BDI de 24,92%; e os itens cotados foram atualizados pelo índice INCC (Dez/2021 a Jul/2023: 16,64%).</t>
  </si>
  <si>
    <t>O preço foi atualizado pelo índice INCC (Dez/2021 a Jul/2023: 11,89%).</t>
  </si>
  <si>
    <t>Utilizado o SINAPI desonerado, praça Brasília/DF data ref. téc. 07/2023</t>
  </si>
  <si>
    <t>Armação para execução de radier, piso de concreto ou laje sobre solo, com uso de tela Q92. af_09/2021</t>
  </si>
  <si>
    <t>Concretagem de radier, piso de concreto ou laje sobre solo, Fck 30 Mpa - lançamento, adensamento e acabamento. Af_09/2021</t>
  </si>
  <si>
    <t>Acabamento polido para piso de concreto armado ou laje sobre solo de alta resistência. Af_09/2021</t>
  </si>
  <si>
    <t>kg</t>
  </si>
  <si>
    <t>2.2.4</t>
  </si>
  <si>
    <t>Cotação</t>
  </si>
  <si>
    <t>Gradil Newcerk 3D premium – 2,03 x 2,50m, 5,0mm com dupla camada de pintura, incluindo poste com sapata bolt – 2,08m, 40x60x1,25mm, 01 (um) portão de correr (7,00 x 2,08mts) e 01 (um) portão pivotante folha dupla (7,00 x 2,08mts). (Gradil eletrosoldado, malha 50x200mm. Pintura com espessura mínima de 200μ).</t>
  </si>
  <si>
    <t>un.</t>
  </si>
  <si>
    <t>Cotação Nº 8301 de 28/08/2023, realizada na empresa ARAMECOLOR IND E COM DE CERCAMENTOS LTDA (CNPJ 30.284.864/0001-43), fone (41) 98448-6031.</t>
  </si>
  <si>
    <t>GTED/SELOG/SR/PF/DF</t>
  </si>
  <si>
    <t>MEMÓRIA DE CÁLCULO DAS ÁREAS</t>
  </si>
  <si>
    <t>CÁLCULO CONTRATAÇÃO DE PROJETOS EXECUTIVOS</t>
  </si>
  <si>
    <t>SOMATÓRIO DAS ÁREAS PROJETADAS DE PAVIMENTO DIFERENCIADO</t>
  </si>
  <si>
    <t>Unidades</t>
  </si>
  <si>
    <t>Área (m²)</t>
  </si>
  <si>
    <t>Unitária</t>
  </si>
  <si>
    <t>Σapd</t>
  </si>
  <si>
    <t>SOMATÓRIO DAS ÁREAS PROJETADAS DE PAVIMENTO TIPO</t>
  </si>
  <si>
    <t>Σapt</t>
  </si>
  <si>
    <t>SOMATÓRIO DAS ÁREAS PROJETADAS DE GARAGEM/ESTACIONAMENTO</t>
  </si>
  <si>
    <t>Σage</t>
  </si>
  <si>
    <t>ANEXO III</t>
  </si>
  <si>
    <t>MEMÓRIA DE CÁLCULO - PLANILHA DE COMPOSIÇÃO DE PREÇO</t>
  </si>
  <si>
    <t>% Adotado</t>
  </si>
  <si>
    <t>IR Adotado</t>
  </si>
  <si>
    <t>Projeto de Arquitetura - Executivo</t>
  </si>
  <si>
    <t>Projeto de Arquitetura - Ambiência</t>
  </si>
  <si>
    <r>
      <t xml:space="preserve">Projeto de Arquitetura - </t>
    </r>
    <r>
      <rPr>
        <i/>
        <sz val="12"/>
        <color theme="1"/>
        <rFont val="Times New Roman"/>
        <family val="1"/>
      </rPr>
      <t>layout</t>
    </r>
  </si>
  <si>
    <t>Projeto de Sinalização</t>
  </si>
  <si>
    <r>
      <t xml:space="preserve">Anteprojeto Anti-incêndio incluso </t>
    </r>
    <r>
      <rPr>
        <i/>
        <sz val="12"/>
        <color theme="1"/>
        <rFont val="Times New Roman"/>
        <family val="1"/>
      </rPr>
      <t>Sprinklers</t>
    </r>
  </si>
  <si>
    <t>Anteprojeto de Hidrossanitário e de Águas Pluviais</t>
  </si>
  <si>
    <t>Anteprojeto Estrutural e Fundações em Concreto Armado</t>
  </si>
  <si>
    <t>Anteprojeto Estrutural e Fundações em Aço ou Madeira</t>
  </si>
  <si>
    <t>Projeto Estrutural para Muro de Arrimo</t>
  </si>
  <si>
    <t>Anteprojeto de Entrada de Energia</t>
  </si>
  <si>
    <t>Anteprojeto de Instalação Elétrica: luminotécnico, comum, estabilizada e emergência</t>
  </si>
  <si>
    <t>Anteprojeto de Instalação Elétrica – Usina de Descentralização de Energia Fotovoltaica</t>
  </si>
  <si>
    <t>Anteprojeto de Cabeamento Estruturado (voz e dados)</t>
  </si>
  <si>
    <t>Anteprojeto de Segurança – Alarme contra Roubo e Intrusão, CFTV e Controle Acesso</t>
  </si>
  <si>
    <t>Projeto de Instalação Elétrica - Rede Ininterrupta GMG</t>
  </si>
  <si>
    <t>Anteprojeto de Ar condicionado – Expansão Direta</t>
  </si>
  <si>
    <t>Anteprojeto de Ar condicionado – Expansão Indireta</t>
  </si>
  <si>
    <t>Projeto de Ventilação – sem rede de dutos e acessórios</t>
  </si>
  <si>
    <t>Projeto com Condicionador de Janela</t>
  </si>
  <si>
    <t>Projeto com Mini-split – unitário de até 5 TR</t>
  </si>
  <si>
    <t>Projeto com Self-contained – condensação a ar integrado ou Roof-tops</t>
  </si>
  <si>
    <t xml:space="preserve">Projeto com Self-contained com condensador remoto, Split/Splitão – acima de 5 TR; Projeto com tecnologia VRF ou VRV para expansão direta </t>
  </si>
  <si>
    <t>Diversos</t>
  </si>
  <si>
    <t>Total diversos</t>
  </si>
  <si>
    <t>unid</t>
  </si>
  <si>
    <t>Valor Unit.</t>
  </si>
  <si>
    <t>Valor Total</t>
  </si>
  <si>
    <t>Sondagem e Topografia</t>
  </si>
  <si>
    <t>Demolição</t>
  </si>
  <si>
    <t>Projeto de Demolição da escada</t>
  </si>
  <si>
    <t xml:space="preserve">Total </t>
  </si>
  <si>
    <t>Sondagem a percussão com ensaio de SPT</t>
  </si>
  <si>
    <t xml:space="preserve">Levantamento Topográfico, Planialtimétrico e Cadastral </t>
  </si>
  <si>
    <t>1.2.1</t>
  </si>
  <si>
    <t>Vo[1.1]=</t>
  </si>
  <si>
    <t>Vo[1.2]=</t>
  </si>
  <si>
    <t>Valor Unit
Atualizado(*)</t>
  </si>
  <si>
    <t>(*) : Os itens SINAPI da planilha do depósito de droga da SR/PF/PR foram atualizados para a praça Brasília/DF data ref. Téc. 07/2023, Desonerado, com BDI de 24,92%; e os itens cotados foram atualizados pelo índice INCC (Dez/2021 a Jul/2023: 16,64%).</t>
  </si>
  <si>
    <t>Foi utilizada como referência de preços a Planilha orçamentaria do depósito de droga da SR/PF/PR, com ref. Preço SINAPI - 06/2021 - Paraná; Desonerado, contida no Proc. SEI nº 08385.004023/2021-61 (doc. 20163222).</t>
  </si>
  <si>
    <t>(*3) Fonte: Acórdão TCU nº 2.622/2013 - Plenário.</t>
  </si>
  <si>
    <t>Embutido nos preços unitários dos insumos de mão de obra, de acordo com as bases.</t>
  </si>
  <si>
    <t>GRUPO TÉCNICO EM EDIFICAÇÕES - GTED/SR/PF/PI</t>
  </si>
  <si>
    <t>DPF/PHB/PI</t>
  </si>
  <si>
    <t>Contratação dos projetos básicos e executivos para construção de Centro de Treinamento Policial na sede atual da DPF/PHB/PI</t>
  </si>
  <si>
    <t>Contratação de empresa especializada em Engenharia e Arquitetura para elaboração de projetos básicos e executivos para construção de Centro de Treinamento Policial na sede atua da DPF/PHB/PI</t>
  </si>
  <si>
    <t xml:space="preserve"> AGOSTO/2023</t>
  </si>
  <si>
    <t>NÃO DESONERADO</t>
  </si>
  <si>
    <t>(Modelagem da Arquitetura, Modelagem da estrutura (finalização dos projetos de formas), Modelagem do Projeto de Incêndio, Relatório de Premissas de todas as disciplinas</t>
  </si>
  <si>
    <t>Detalhamentos de arquitetura, detalhamentos de estrutura; finalização dos projetos de instalações elétricas, hidrossanitárias, climatização e incêndio, inclusive aprovação no CBM e concessionárias</t>
  </si>
  <si>
    <t>Documentação Técnica, contendo: caderno de encargos e especificações técnicas, planilha orçamentária analítica e sintética onerada e desonerada, cronograma físico-financeiro, curvas ABC, composições de custos, levantamento de quantitativos, planilha de cálculo de BDI, mapa de cotações e fornecedores, ARTs e maquete virtual</t>
  </si>
  <si>
    <t>CUSTO (R$)</t>
  </si>
  <si>
    <t>PREÇO (R$)</t>
  </si>
  <si>
    <t>PARNAIBA/PI</t>
  </si>
  <si>
    <t>Projeto de Segurança Orgânica</t>
  </si>
  <si>
    <t>Projeto de Climatização</t>
  </si>
  <si>
    <t>é o valor total da obra ou serviço [em R$] do item 1.1, que foi estimado em:</t>
  </si>
  <si>
    <t>é o valor total da obra ou serviço [em R$] do item 1.2, que foi estimado em:</t>
  </si>
  <si>
    <t>é o valor total da obra ou serviço [em R$] do item 1.3, que foi estimado em:</t>
  </si>
  <si>
    <t>Construção de CT em PHB/PI</t>
  </si>
  <si>
    <t>Construção de CT</t>
  </si>
  <si>
    <t>Documentos Técnicos e Complementares</t>
  </si>
  <si>
    <t>Projeto de Fundações, inclusive sondagem</t>
  </si>
  <si>
    <t>Projeto Estrutural em aço ou madeira</t>
  </si>
  <si>
    <t>Projeto Anti-incêndio</t>
  </si>
  <si>
    <t>Contratação de empresa especializada em Engenharia e Arquitetura para elaboração de projetos básicos e executivos para construção de Centro de Treinamento Policial na sede atual da DPF/PHB/PI</t>
  </si>
  <si>
    <t>ETAPA (%)</t>
  </si>
  <si>
    <t>PREÇO TOTAL (R$)</t>
  </si>
  <si>
    <t>TOTAL (R$):</t>
  </si>
  <si>
    <t>MEDIÇÃO 01 - 45 DIAS</t>
  </si>
  <si>
    <t>MEDIÇÃO 02 - 45 DIAS</t>
  </si>
  <si>
    <t>MEDIÇÃO 03 - 30 DIAS</t>
  </si>
  <si>
    <t>% ITEM:</t>
  </si>
  <si>
    <t>ANEXO I</t>
  </si>
  <si>
    <t>ANEXO II</t>
  </si>
  <si>
    <t>POLÍCIA FEDERAL</t>
  </si>
  <si>
    <t>INSTALAÇÕES DA DPF/PHB/PI</t>
  </si>
  <si>
    <t>CONSTRUÇÃO</t>
  </si>
  <si>
    <t>NÃO</t>
  </si>
  <si>
    <t>(*1) Alíquota ISS do município de Parnaíba/PI</t>
  </si>
  <si>
    <r>
      <t>Declaro para os devidos fins que o regime de Contribuição Previdenciária sobre a Receita Bruta adotado para elaboração do orçamento foi</t>
    </r>
    <r>
      <rPr>
        <b/>
        <sz val="8.5"/>
        <color theme="1"/>
        <rFont val="Times New Roman"/>
        <family val="1"/>
      </rPr>
      <t xml:space="preserve"> SEM</t>
    </r>
    <r>
      <rPr>
        <sz val="8.5"/>
        <color theme="1"/>
        <rFont val="Times New Roman"/>
        <family val="1"/>
      </rPr>
      <t xml:space="preserve"> Desoneração.</t>
    </r>
  </si>
  <si>
    <t>ANEXO XII</t>
  </si>
  <si>
    <t>CURVA ABC DE INSUMOS</t>
  </si>
  <si>
    <t>GTED/SR/PF/PI</t>
  </si>
  <si>
    <t>SERVIÇO</t>
  </si>
  <si>
    <t>QUANTIDADE</t>
  </si>
  <si>
    <t>UNIDADE</t>
  </si>
  <si>
    <t>PREÇO UNITÁRIO</t>
  </si>
  <si>
    <t>PREÇO TOTAL</t>
  </si>
  <si>
    <t>ARQUITETURA</t>
  </si>
  <si>
    <t>CIVIL</t>
  </si>
  <si>
    <t>ELÉTRICA</t>
  </si>
  <si>
    <t>MECÂNICA</t>
  </si>
  <si>
    <t>DIVERSOS</t>
  </si>
  <si>
    <t>NOVEMBRO/2023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</si>
</sst>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 #,##0.000_-;\-* #,##0.000_-;_-* &quot;-&quot;??_-;_-@_-"/>
    <numFmt numFmtId="167" formatCode="0.0"/>
    <numFmt numFmtId="168" formatCode="_-* #,##0_-;\-* #,##0_-;_-* &quot;-&quot;??_-;_-@_-"/>
    <numFmt numFmtId="169" formatCode="&quot;R$&quot;\ #,##0.00"/>
    <numFmt numFmtId="170" formatCode="0.0%"/>
    <numFmt numFmtId="171" formatCode="#,##0.00\ %"/>
  </numFmts>
  <fonts count="42" x14ac:knownFonts="1">
    <font>
      <sz val="11"/>
      <color theme="1"/>
      <name val="Calibri"/>
      <family val="2"/>
      <scheme val="minor"/>
    </font>
    <font>
      <sz val="10"/>
      <name val="Arial"/>
      <family val="2"/>
    </font>
    <font>
      <sz val="12"/>
      <color theme="1"/>
      <name val="Times New Roman"/>
      <family val="1"/>
    </font>
    <font>
      <b/>
      <sz val="12"/>
      <name val="Times New Roman"/>
      <family val="1"/>
    </font>
    <font>
      <sz val="12"/>
      <name val="Times New Roman"/>
      <family val="1"/>
    </font>
    <font>
      <sz val="8"/>
      <name val="Calibri"/>
      <family val="2"/>
      <scheme val="minor"/>
    </font>
    <font>
      <sz val="9"/>
      <name val="Times New Roman"/>
      <family val="1"/>
    </font>
    <font>
      <sz val="11"/>
      <color theme="1"/>
      <name val="Calibri"/>
      <family val="2"/>
      <scheme val="minor"/>
    </font>
    <font>
      <b/>
      <sz val="12"/>
      <color theme="1"/>
      <name val="Times New Roman"/>
      <family val="1"/>
    </font>
    <font>
      <i/>
      <sz val="12"/>
      <name val="Times New Roman"/>
      <family val="1"/>
    </font>
    <font>
      <b/>
      <vertAlign val="subscript"/>
      <sz val="12"/>
      <color theme="1"/>
      <name val="Times New Roman"/>
      <family val="1"/>
    </font>
    <font>
      <i/>
      <sz val="12"/>
      <color theme="1"/>
      <name val="Times New Roman"/>
      <family val="1"/>
    </font>
    <font>
      <vertAlign val="subscript"/>
      <sz val="12"/>
      <color theme="1"/>
      <name val="Times New Roman"/>
      <family val="1"/>
    </font>
    <font>
      <sz val="8"/>
      <color theme="1"/>
      <name val="Times New Roman"/>
      <family val="1"/>
    </font>
    <font>
      <b/>
      <sz val="12"/>
      <color rgb="FFFF0000"/>
      <name val="Times New Roman"/>
      <family val="1"/>
    </font>
    <font>
      <b/>
      <vertAlign val="subscript"/>
      <sz val="12"/>
      <color rgb="FFFF0000"/>
      <name val="Times New Roman"/>
      <family val="1"/>
    </font>
    <font>
      <sz val="12"/>
      <color rgb="FFFF0000"/>
      <name val="Times New Roman"/>
      <family val="1"/>
    </font>
    <font>
      <sz val="10.5"/>
      <color rgb="FF000000"/>
      <name val="Times New Roman"/>
      <family val="1"/>
    </font>
    <font>
      <sz val="8.5"/>
      <color rgb="FF000000"/>
      <name val="Times New Roman"/>
      <family val="1"/>
    </font>
    <font>
      <b/>
      <sz val="8.5"/>
      <color rgb="FF000000"/>
      <name val="Times New Roman"/>
      <family val="1"/>
    </font>
    <font>
      <sz val="7"/>
      <color rgb="FF000000"/>
      <name val="Times New Roman"/>
      <family val="1"/>
    </font>
    <font>
      <b/>
      <sz val="7"/>
      <color rgb="FF000000"/>
      <name val="Times New Roman"/>
      <family val="1"/>
    </font>
    <font>
      <b/>
      <sz val="7"/>
      <color rgb="FF000000"/>
      <name val="TimesNewRomanPS-BoldMT"/>
    </font>
    <font>
      <sz val="8"/>
      <color rgb="FF000000"/>
      <name val="Times New Roman"/>
      <family val="1"/>
    </font>
    <font>
      <sz val="11"/>
      <color theme="1"/>
      <name val="Times New Roman"/>
      <family val="1"/>
    </font>
    <font>
      <sz val="8.5"/>
      <color theme="1"/>
      <name val="Times New Roman"/>
      <family val="1"/>
    </font>
    <font>
      <b/>
      <sz val="8.5"/>
      <color theme="1"/>
      <name val="Times New Roman"/>
      <family val="1"/>
    </font>
    <font>
      <sz val="9"/>
      <color rgb="FF000000"/>
      <name val="Times New Roman"/>
      <family val="1"/>
    </font>
    <font>
      <b/>
      <sz val="11"/>
      <color theme="1"/>
      <name val="Times New Roman"/>
      <family val="1"/>
    </font>
    <font>
      <b/>
      <sz val="11"/>
      <name val="Arial"/>
      <family val="1"/>
    </font>
    <font>
      <b/>
      <sz val="10"/>
      <name val="Arial"/>
      <family val="1"/>
    </font>
    <font>
      <b/>
      <sz val="10"/>
      <color rgb="FF000000"/>
      <name val="Arial"/>
      <family val="1"/>
    </font>
    <font>
      <sz val="10"/>
      <color rgb="FF000000"/>
      <name val="Arial"/>
      <family val="1"/>
    </font>
    <font>
      <sz val="10"/>
      <name val="Arial"/>
      <family val="1"/>
    </font>
    <font>
      <sz val="11"/>
      <name val="Arial"/>
      <family val="1"/>
    </font>
    <font>
      <b/>
      <i/>
      <sz val="12"/>
      <color theme="1"/>
      <name val="Times New Roman"/>
      <family val="1"/>
    </font>
    <font>
      <sz val="10"/>
      <color theme="1"/>
      <name val="Calibri"/>
      <family val="2"/>
      <scheme val="minor"/>
    </font>
    <font>
      <b/>
      <sz val="10"/>
      <color theme="1"/>
      <name val="Calibri"/>
      <family val="2"/>
      <scheme val="minor"/>
    </font>
    <font>
      <sz val="10"/>
      <name val="Calibri"/>
      <family val="2"/>
      <scheme val="minor"/>
    </font>
    <font>
      <sz val="9"/>
      <color indexed="81"/>
      <name val="Segoe UI"/>
      <family val="2"/>
    </font>
    <font>
      <b/>
      <sz val="9"/>
      <color indexed="81"/>
      <name val="Segoe UI"/>
      <family val="2"/>
    </font>
    <font>
      <i/>
      <sz val="10"/>
      <name val="Arial"/>
      <family val="2"/>
    </font>
  </fonts>
  <fills count="2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FF"/>
      </patternFill>
    </fill>
    <fill>
      <patternFill patternType="solid">
        <fgColor rgb="FFD8ECF6"/>
      </patternFill>
    </fill>
    <fill>
      <patternFill patternType="solid">
        <fgColor rgb="FFDFF0D8"/>
      </patternFill>
    </fill>
    <fill>
      <patternFill patternType="solid">
        <fgColor rgb="FFF7F3DF"/>
      </patternFill>
    </fill>
    <fill>
      <patternFill patternType="solid">
        <fgColor rgb="FFFFFFCC"/>
        <bgColor indexed="64"/>
      </patternFill>
    </fill>
    <fill>
      <patternFill patternType="solid">
        <fgColor theme="6" tint="0.39997558519241921"/>
        <bgColor indexed="64"/>
      </patternFill>
    </fill>
    <fill>
      <patternFill patternType="solid">
        <fgColor theme="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7" tint="0.59999389629810485"/>
        <bgColor indexed="64"/>
      </patternFill>
    </fill>
    <fill>
      <patternFill patternType="solid">
        <fgColor theme="9"/>
        <bgColor indexed="64"/>
      </patternFill>
    </fill>
    <fill>
      <patternFill patternType="solid">
        <fgColor theme="9"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medium">
        <color auto="1"/>
      </left>
      <right style="thin">
        <color indexed="64"/>
      </right>
      <top style="thin">
        <color indexed="64"/>
      </top>
      <bottom style="thin">
        <color indexed="64"/>
      </bottom>
      <diagonal/>
    </border>
    <border>
      <left/>
      <right style="medium">
        <color auto="1"/>
      </right>
      <top style="thin">
        <color indexed="64"/>
      </top>
      <bottom/>
      <diagonal/>
    </border>
    <border>
      <left/>
      <right style="medium">
        <color auto="1"/>
      </right>
      <top/>
      <bottom style="thin">
        <color indexed="64"/>
      </bottom>
      <diagonal/>
    </border>
    <border>
      <left/>
      <right style="medium">
        <color auto="1"/>
      </right>
      <top style="thin">
        <color indexed="64"/>
      </top>
      <bottom style="thin">
        <color indexed="64"/>
      </bottom>
      <diagonal/>
    </border>
    <border>
      <left style="medium">
        <color auto="1"/>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rgb="FFCCCCCC"/>
      </left>
      <right style="thin">
        <color rgb="FFCCCCCC"/>
      </right>
      <top style="thin">
        <color rgb="FFCCCCCC"/>
      </top>
      <bottom style="thin">
        <color rgb="FFCCCCCC"/>
      </bottom>
      <diagonal/>
    </border>
    <border>
      <left style="thin">
        <color indexed="64"/>
      </left>
      <right/>
      <top/>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hair">
        <color indexed="64"/>
      </top>
      <bottom style="hair">
        <color indexed="64"/>
      </bottom>
      <diagonal/>
    </border>
    <border>
      <left style="dashed">
        <color indexed="64"/>
      </left>
      <right style="dashed">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medium">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s>
  <cellStyleXfs count="8">
    <xf numFmtId="0" fontId="0" fillId="0" borderId="0"/>
    <xf numFmtId="0" fontId="1" fillId="0" borderId="0"/>
    <xf numFmtId="43" fontId="7"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165" fontId="7" fillId="0" borderId="0" applyFont="0" applyFill="0" applyBorder="0" applyAlignment="0" applyProtection="0"/>
    <xf numFmtId="0" fontId="1" fillId="0" borderId="0"/>
    <xf numFmtId="0" fontId="34" fillId="0" borderId="0"/>
  </cellStyleXfs>
  <cellXfs count="518">
    <xf numFmtId="0" fontId="0" fillId="0" borderId="0" xfId="0"/>
    <xf numFmtId="0" fontId="2" fillId="2" borderId="0" xfId="0" applyFont="1" applyFill="1" applyAlignment="1">
      <alignment vertical="center"/>
    </xf>
    <xf numFmtId="0" fontId="3" fillId="2" borderId="0" xfId="1" applyFont="1" applyFill="1"/>
    <xf numFmtId="0" fontId="4" fillId="2" borderId="0" xfId="1" applyFont="1" applyFill="1"/>
    <xf numFmtId="4" fontId="4" fillId="2" borderId="0" xfId="1" applyNumberFormat="1" applyFont="1" applyFill="1"/>
    <xf numFmtId="0" fontId="4" fillId="2" borderId="0" xfId="1" applyFont="1" applyFill="1" applyAlignment="1">
      <alignment horizontal="center"/>
    </xf>
    <xf numFmtId="0" fontId="3" fillId="2" borderId="0" xfId="1" applyFont="1" applyFill="1" applyAlignment="1">
      <alignment horizontal="center"/>
    </xf>
    <xf numFmtId="0" fontId="6" fillId="2" borderId="0" xfId="1" applyFont="1" applyFill="1"/>
    <xf numFmtId="0" fontId="8" fillId="2" borderId="0" xfId="0" applyFont="1" applyFill="1" applyAlignment="1">
      <alignment horizontal="center" vertical="center"/>
    </xf>
    <xf numFmtId="0" fontId="4" fillId="0" borderId="1" xfId="0" applyFont="1" applyBorder="1" applyAlignment="1">
      <alignment vertical="center" wrapText="1"/>
    </xf>
    <xf numFmtId="0" fontId="2" fillId="2" borderId="0" xfId="0" applyFont="1" applyFill="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vertical="center" wrapText="1"/>
    </xf>
    <xf numFmtId="4" fontId="4" fillId="4" borderId="1" xfId="2" applyNumberFormat="1" applyFont="1" applyFill="1" applyBorder="1" applyAlignment="1">
      <alignment horizontal="right" vertical="center" wrapText="1"/>
    </xf>
    <xf numFmtId="0" fontId="3" fillId="0" borderId="1" xfId="0" applyFont="1" applyBorder="1" applyAlignment="1">
      <alignment horizontal="center" vertical="center" wrapText="1"/>
    </xf>
    <xf numFmtId="0" fontId="2" fillId="2" borderId="0" xfId="0" applyFont="1" applyFill="1" applyAlignment="1">
      <alignment horizontal="center" vertical="center" wrapText="1"/>
    </xf>
    <xf numFmtId="0" fontId="3" fillId="0" borderId="1" xfId="0" applyFont="1" applyBorder="1" applyAlignment="1">
      <alignment horizontal="right" vertical="center" wrapText="1"/>
    </xf>
    <xf numFmtId="10" fontId="4" fillId="0" borderId="1" xfId="4" applyNumberFormat="1" applyFont="1" applyBorder="1" applyAlignment="1">
      <alignment vertical="center" wrapText="1"/>
    </xf>
    <xf numFmtId="4" fontId="4" fillId="2" borderId="1" xfId="2" applyNumberFormat="1" applyFont="1" applyFill="1" applyBorder="1" applyAlignment="1">
      <alignment horizontal="right" vertical="center" wrapText="1"/>
    </xf>
    <xf numFmtId="0" fontId="2" fillId="2" borderId="0" xfId="0" applyFont="1" applyFill="1"/>
    <xf numFmtId="0" fontId="8" fillId="2" borderId="1" xfId="0" applyFont="1" applyFill="1" applyBorder="1" applyAlignment="1">
      <alignment horizontal="center"/>
    </xf>
    <xf numFmtId="2" fontId="8" fillId="0" borderId="1" xfId="0" applyNumberFormat="1" applyFont="1" applyBorder="1" applyAlignment="1">
      <alignment horizontal="center" vertical="center"/>
    </xf>
    <xf numFmtId="0" fontId="8" fillId="0" borderId="1" xfId="0" applyFont="1" applyBorder="1" applyAlignment="1">
      <alignment horizontal="center" vertical="center"/>
    </xf>
    <xf numFmtId="44" fontId="8" fillId="0" borderId="1" xfId="0" applyNumberFormat="1" applyFont="1" applyBorder="1" applyAlignment="1">
      <alignment horizontal="center" vertical="center"/>
    </xf>
    <xf numFmtId="0" fontId="2" fillId="2" borderId="3" xfId="0" applyFont="1" applyFill="1" applyBorder="1"/>
    <xf numFmtId="43" fontId="2" fillId="2" borderId="1" xfId="2" applyFont="1" applyFill="1" applyBorder="1" applyAlignment="1">
      <alignment vertical="center"/>
    </xf>
    <xf numFmtId="164" fontId="2" fillId="2" borderId="1" xfId="3" applyFont="1" applyFill="1" applyBorder="1" applyAlignment="1">
      <alignment vertical="center"/>
    </xf>
    <xf numFmtId="0" fontId="8" fillId="2" borderId="2" xfId="0" applyFont="1" applyFill="1" applyBorder="1" applyAlignment="1">
      <alignment vertical="center"/>
    </xf>
    <xf numFmtId="0" fontId="8" fillId="2" borderId="11" xfId="0" applyFont="1" applyFill="1" applyBorder="1" applyAlignment="1">
      <alignment vertical="center"/>
    </xf>
    <xf numFmtId="0" fontId="8" fillId="2" borderId="11" xfId="0" applyFont="1" applyFill="1" applyBorder="1" applyAlignment="1">
      <alignment horizontal="right" vertical="center"/>
    </xf>
    <xf numFmtId="166" fontId="2" fillId="2" borderId="6" xfId="2" applyNumberFormat="1" applyFont="1" applyFill="1" applyBorder="1" applyAlignment="1">
      <alignment horizontal="center" vertical="center"/>
    </xf>
    <xf numFmtId="43" fontId="2" fillId="2" borderId="6" xfId="2" applyFont="1" applyFill="1" applyBorder="1" applyAlignment="1">
      <alignment horizontal="center" vertical="center"/>
    </xf>
    <xf numFmtId="43" fontId="2" fillId="2" borderId="6" xfId="2" applyFont="1" applyFill="1" applyBorder="1" applyAlignment="1">
      <alignment vertical="center"/>
    </xf>
    <xf numFmtId="164" fontId="2" fillId="2" borderId="6" xfId="3" applyFont="1" applyFill="1" applyBorder="1" applyAlignment="1">
      <alignment horizontal="center" vertical="center"/>
    </xf>
    <xf numFmtId="43" fontId="2" fillId="2" borderId="1" xfId="2" applyFont="1" applyFill="1" applyBorder="1" applyAlignment="1">
      <alignment horizontal="center" vertical="center"/>
    </xf>
    <xf numFmtId="0" fontId="2" fillId="2" borderId="8" xfId="0" applyFont="1" applyFill="1" applyBorder="1"/>
    <xf numFmtId="43" fontId="2" fillId="2" borderId="5" xfId="2" applyFont="1" applyFill="1" applyBorder="1" applyAlignment="1">
      <alignment horizontal="center" vertical="center"/>
    </xf>
    <xf numFmtId="0" fontId="8" fillId="2" borderId="3" xfId="0" applyFont="1" applyFill="1" applyBorder="1" applyAlignment="1">
      <alignment horizontal="right" vertical="center"/>
    </xf>
    <xf numFmtId="44" fontId="2" fillId="2" borderId="0" xfId="0" applyNumberFormat="1" applyFont="1" applyFill="1"/>
    <xf numFmtId="43" fontId="2" fillId="2" borderId="0" xfId="2" applyFont="1" applyFill="1" applyAlignment="1">
      <alignment horizontal="center" vertical="center"/>
    </xf>
    <xf numFmtId="164" fontId="2" fillId="2" borderId="0" xfId="3" applyFont="1" applyFill="1" applyAlignment="1">
      <alignment horizontal="center" vertical="center"/>
    </xf>
    <xf numFmtId="44" fontId="2" fillId="2" borderId="0" xfId="0" applyNumberFormat="1"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left" vertical="center"/>
    </xf>
    <xf numFmtId="0" fontId="8" fillId="2" borderId="0" xfId="0" applyFont="1" applyFill="1" applyAlignment="1">
      <alignment horizontal="right" vertical="center"/>
    </xf>
    <xf numFmtId="0" fontId="4" fillId="2" borderId="1" xfId="0" applyFont="1" applyFill="1" applyBorder="1" applyAlignment="1">
      <alignment vertical="center" wrapText="1"/>
    </xf>
    <xf numFmtId="0" fontId="2" fillId="2" borderId="0" xfId="0" applyFont="1" applyFill="1" applyAlignment="1">
      <alignment horizontal="left" vertical="center" wrapText="1"/>
    </xf>
    <xf numFmtId="164" fontId="2" fillId="2" borderId="0" xfId="0" applyNumberFormat="1" applyFont="1" applyFill="1"/>
    <xf numFmtId="43" fontId="2" fillId="2" borderId="0" xfId="2" applyFont="1" applyFill="1" applyAlignment="1">
      <alignment vertical="center" wrapText="1"/>
    </xf>
    <xf numFmtId="4" fontId="2" fillId="2" borderId="0" xfId="0" applyNumberFormat="1" applyFont="1" applyFill="1" applyAlignment="1">
      <alignment vertical="center" wrapText="1"/>
    </xf>
    <xf numFmtId="0" fontId="4" fillId="2" borderId="3" xfId="0" applyFont="1" applyFill="1" applyBorder="1"/>
    <xf numFmtId="166" fontId="4" fillId="2" borderId="1" xfId="2" applyNumberFormat="1" applyFont="1" applyFill="1" applyBorder="1" applyAlignment="1">
      <alignment vertical="center"/>
    </xf>
    <xf numFmtId="0" fontId="2" fillId="2" borderId="1" xfId="0" applyFont="1" applyFill="1" applyBorder="1"/>
    <xf numFmtId="168" fontId="2" fillId="2" borderId="1" xfId="2" applyNumberFormat="1" applyFont="1" applyFill="1" applyBorder="1" applyAlignment="1">
      <alignment horizontal="center" vertical="center"/>
    </xf>
    <xf numFmtId="43" fontId="2" fillId="2" borderId="11" xfId="2" applyFont="1" applyFill="1" applyBorder="1" applyAlignment="1">
      <alignment vertical="center"/>
    </xf>
    <xf numFmtId="43" fontId="2" fillId="2" borderId="7" xfId="2" applyFont="1" applyFill="1" applyBorder="1" applyAlignment="1">
      <alignment horizontal="center" vertical="center"/>
    </xf>
    <xf numFmtId="43" fontId="2" fillId="2" borderId="7" xfId="2" applyFont="1" applyFill="1" applyBorder="1" applyAlignment="1">
      <alignment vertical="center"/>
    </xf>
    <xf numFmtId="0" fontId="2" fillId="2" borderId="2" xfId="0" applyFont="1" applyFill="1" applyBorder="1"/>
    <xf numFmtId="0" fontId="8" fillId="2" borderId="1" xfId="0" applyFont="1" applyFill="1" applyBorder="1" applyAlignment="1">
      <alignment horizontal="center" vertical="center"/>
    </xf>
    <xf numFmtId="0" fontId="2" fillId="2" borderId="8" xfId="0" applyFont="1" applyFill="1" applyBorder="1" applyAlignment="1">
      <alignment wrapText="1"/>
    </xf>
    <xf numFmtId="0" fontId="2" fillId="2" borderId="6" xfId="0" applyFont="1" applyFill="1" applyBorder="1" applyAlignment="1">
      <alignment wrapText="1"/>
    </xf>
    <xf numFmtId="2"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right" vertical="center" wrapText="1"/>
    </xf>
    <xf numFmtId="0" fontId="4" fillId="2" borderId="0" xfId="0" applyFont="1" applyFill="1" applyAlignment="1">
      <alignment vertical="center" wrapText="1"/>
    </xf>
    <xf numFmtId="43" fontId="3" fillId="2" borderId="1" xfId="2" applyFont="1" applyFill="1" applyBorder="1" applyAlignment="1">
      <alignment horizontal="center" vertical="center"/>
    </xf>
    <xf numFmtId="0" fontId="3" fillId="2" borderId="11" xfId="0" applyFont="1" applyFill="1" applyBorder="1" applyAlignment="1">
      <alignment vertical="center"/>
    </xf>
    <xf numFmtId="166" fontId="4" fillId="2" borderId="6" xfId="2" applyNumberFormat="1" applyFont="1" applyFill="1" applyBorder="1" applyAlignment="1">
      <alignment horizontal="center" vertical="center"/>
    </xf>
    <xf numFmtId="166" fontId="4" fillId="2" borderId="1" xfId="2" applyNumberFormat="1" applyFont="1" applyFill="1" applyBorder="1" applyAlignment="1">
      <alignment horizontal="center" vertical="center"/>
    </xf>
    <xf numFmtId="166" fontId="4" fillId="2" borderId="5" xfId="2" applyNumberFormat="1" applyFont="1" applyFill="1" applyBorder="1" applyAlignment="1">
      <alignment horizontal="center" vertical="center"/>
    </xf>
    <xf numFmtId="166" fontId="4" fillId="2" borderId="1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4" fillId="2" borderId="0" xfId="0" applyFont="1" applyFill="1" applyAlignment="1">
      <alignment vertical="center"/>
    </xf>
    <xf numFmtId="43" fontId="4" fillId="2" borderId="0" xfId="2" applyFont="1" applyFill="1" applyAlignment="1">
      <alignment horizontal="center" vertical="center"/>
    </xf>
    <xf numFmtId="0" fontId="8" fillId="2" borderId="0" xfId="0" applyFont="1" applyFill="1" applyAlignment="1">
      <alignment vertical="center" wrapText="1"/>
    </xf>
    <xf numFmtId="0" fontId="8" fillId="2" borderId="0" xfId="0" applyFont="1" applyFill="1"/>
    <xf numFmtId="43" fontId="2" fillId="2" borderId="0" xfId="2" applyFont="1" applyFill="1" applyBorder="1" applyAlignment="1">
      <alignment horizontal="left" vertical="center" wrapText="1"/>
    </xf>
    <xf numFmtId="43" fontId="8" fillId="2" borderId="0" xfId="2" applyFont="1" applyFill="1" applyBorder="1" applyAlignment="1">
      <alignment horizontal="left" vertical="center" wrapText="1"/>
    </xf>
    <xf numFmtId="168" fontId="2" fillId="2" borderId="1" xfId="2" applyNumberFormat="1" applyFont="1" applyFill="1" applyBorder="1" applyAlignment="1">
      <alignment vertical="center"/>
    </xf>
    <xf numFmtId="169" fontId="2" fillId="2" borderId="0" xfId="2" applyNumberFormat="1" applyFont="1" applyFill="1" applyAlignment="1">
      <alignment horizontal="left" vertical="center" wrapText="1"/>
    </xf>
    <xf numFmtId="169" fontId="2" fillId="2" borderId="0" xfId="0" applyNumberFormat="1" applyFont="1" applyFill="1" applyAlignment="1">
      <alignment horizontal="left"/>
    </xf>
    <xf numFmtId="43" fontId="2" fillId="2" borderId="0" xfId="2" applyFont="1" applyFill="1"/>
    <xf numFmtId="44" fontId="2" fillId="2" borderId="0" xfId="0" applyNumberFormat="1" applyFont="1" applyFill="1" applyAlignment="1">
      <alignment horizontal="right" vertical="center" indent="1"/>
    </xf>
    <xf numFmtId="0" fontId="8" fillId="2" borderId="0" xfId="0" applyFont="1" applyFill="1" applyAlignment="1">
      <alignment horizontal="left" vertical="center"/>
    </xf>
    <xf numFmtId="43" fontId="14" fillId="2" borderId="0" xfId="2" applyFont="1" applyFill="1" applyBorder="1" applyAlignment="1">
      <alignment horizontal="left" vertical="center" wrapText="1"/>
    </xf>
    <xf numFmtId="44" fontId="16" fillId="2" borderId="0" xfId="0" applyNumberFormat="1" applyFont="1" applyFill="1" applyAlignment="1">
      <alignment horizontal="right" vertical="center" indent="1"/>
    </xf>
    <xf numFmtId="43" fontId="16" fillId="2" borderId="0" xfId="2" applyFont="1" applyFill="1" applyBorder="1" applyAlignment="1">
      <alignment horizontal="left" vertical="center" wrapText="1"/>
    </xf>
    <xf numFmtId="0" fontId="2" fillId="2" borderId="3" xfId="0" applyFont="1" applyFill="1" applyBorder="1" applyAlignment="1">
      <alignment wrapText="1"/>
    </xf>
    <xf numFmtId="2" fontId="8" fillId="2" borderId="0" xfId="0" applyNumberFormat="1" applyFont="1" applyFill="1" applyAlignment="1">
      <alignment horizontal="center" vertical="center"/>
    </xf>
    <xf numFmtId="2" fontId="14" fillId="2" borderId="0" xfId="0" applyNumberFormat="1" applyFont="1" applyFill="1" applyAlignment="1">
      <alignment horizontal="center" vertical="center"/>
    </xf>
    <xf numFmtId="164" fontId="2" fillId="2" borderId="1" xfId="3" applyFont="1" applyFill="1" applyBorder="1" applyAlignment="1">
      <alignment horizontal="center" vertical="center"/>
    </xf>
    <xf numFmtId="0" fontId="2" fillId="2" borderId="9" xfId="0" applyFont="1" applyFill="1" applyBorder="1"/>
    <xf numFmtId="0" fontId="2" fillId="2" borderId="0" xfId="0" applyFont="1" applyFill="1" applyAlignment="1">
      <alignment horizontal="center" vertical="center"/>
    </xf>
    <xf numFmtId="0" fontId="17" fillId="0" borderId="12" xfId="0" applyFont="1" applyBorder="1" applyAlignment="1">
      <alignment horizontal="center" vertical="center" wrapText="1"/>
    </xf>
    <xf numFmtId="4" fontId="17" fillId="0" borderId="12"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10" fontId="20" fillId="0" borderId="1" xfId="0" applyNumberFormat="1" applyFont="1" applyBorder="1" applyAlignment="1">
      <alignment horizontal="center" vertical="center" wrapText="1"/>
    </xf>
    <xf numFmtId="0" fontId="18" fillId="0" borderId="24"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34" xfId="0" applyFont="1" applyBorder="1" applyAlignment="1">
      <alignment horizontal="left" vertical="center" wrapText="1"/>
    </xf>
    <xf numFmtId="17" fontId="27" fillId="0" borderId="34" xfId="0" applyNumberFormat="1" applyFont="1" applyBorder="1" applyAlignment="1">
      <alignment horizontal="center" vertical="center" wrapText="1"/>
    </xf>
    <xf numFmtId="10" fontId="24" fillId="0" borderId="34" xfId="4" applyNumberFormat="1" applyFont="1" applyBorder="1" applyAlignment="1">
      <alignment horizontal="center" vertical="center" wrapText="1"/>
    </xf>
    <xf numFmtId="0" fontId="27" fillId="0" borderId="34" xfId="0" applyFont="1" applyBorder="1" applyAlignment="1">
      <alignment horizontal="center" vertical="center" wrapText="1"/>
    </xf>
    <xf numFmtId="10" fontId="28" fillId="0" borderId="34" xfId="4" applyNumberFormat="1" applyFont="1" applyBorder="1" applyAlignment="1">
      <alignment horizontal="center" vertical="center" wrapText="1"/>
    </xf>
    <xf numFmtId="0" fontId="0" fillId="0" borderId="0" xfId="0" applyAlignment="1">
      <alignment horizontal="right"/>
    </xf>
    <xf numFmtId="2" fontId="0" fillId="0" borderId="0" xfId="0" applyNumberFormat="1" applyAlignment="1">
      <alignment horizontal="left"/>
    </xf>
    <xf numFmtId="2" fontId="3" fillId="0" borderId="1" xfId="0" applyNumberFormat="1" applyFont="1" applyBorder="1" applyAlignment="1">
      <alignment horizontal="center" vertical="center" wrapText="1"/>
    </xf>
    <xf numFmtId="169" fontId="2" fillId="2" borderId="1" xfId="2" applyNumberFormat="1" applyFont="1" applyFill="1" applyBorder="1" applyAlignment="1">
      <alignment vertical="center"/>
    </xf>
    <xf numFmtId="0" fontId="8" fillId="2" borderId="0" xfId="0" applyFont="1" applyFill="1" applyAlignment="1">
      <alignment vertical="center"/>
    </xf>
    <xf numFmtId="0" fontId="3" fillId="2" borderId="0" xfId="0" applyFont="1" applyFill="1" applyAlignment="1">
      <alignment vertical="center"/>
    </xf>
    <xf numFmtId="0" fontId="2" fillId="2" borderId="1" xfId="0" applyFont="1" applyFill="1" applyBorder="1" applyAlignment="1">
      <alignment horizontal="right" vertical="center"/>
    </xf>
    <xf numFmtId="17" fontId="2" fillId="2" borderId="2" xfId="0" applyNumberFormat="1" applyFont="1" applyFill="1" applyBorder="1" applyAlignment="1">
      <alignment horizontal="left" vertical="center"/>
    </xf>
    <xf numFmtId="43" fontId="8" fillId="2" borderId="1" xfId="2" applyFont="1" applyFill="1" applyBorder="1" applyAlignment="1">
      <alignment horizontal="center" vertical="center"/>
    </xf>
    <xf numFmtId="43" fontId="2" fillId="2" borderId="1" xfId="2" applyFont="1" applyFill="1" applyBorder="1" applyAlignment="1">
      <alignment horizontal="right" vertical="center"/>
    </xf>
    <xf numFmtId="0" fontId="8" fillId="2" borderId="24" xfId="0" applyFont="1" applyFill="1" applyBorder="1" applyAlignment="1">
      <alignment horizontal="center"/>
    </xf>
    <xf numFmtId="44" fontId="8" fillId="2" borderId="32" xfId="0" applyNumberFormat="1" applyFont="1" applyFill="1" applyBorder="1" applyAlignment="1">
      <alignment horizontal="center" vertical="center"/>
    </xf>
    <xf numFmtId="44" fontId="2" fillId="2" borderId="32" xfId="0" applyNumberFormat="1" applyFont="1" applyFill="1" applyBorder="1" applyAlignment="1">
      <alignment vertical="center"/>
    </xf>
    <xf numFmtId="0" fontId="2" fillId="2" borderId="32" xfId="0" applyFont="1" applyFill="1" applyBorder="1"/>
    <xf numFmtId="44" fontId="2" fillId="2" borderId="38" xfId="0" applyNumberFormat="1" applyFont="1" applyFill="1" applyBorder="1" applyAlignment="1">
      <alignment horizontal="center" vertical="center"/>
    </xf>
    <xf numFmtId="44" fontId="2" fillId="2" borderId="39" xfId="0" applyNumberFormat="1" applyFont="1" applyFill="1" applyBorder="1" applyAlignment="1">
      <alignment horizontal="center" vertical="center"/>
    </xf>
    <xf numFmtId="0" fontId="2" fillId="2" borderId="31" xfId="0" applyFont="1" applyFill="1" applyBorder="1" applyAlignment="1">
      <alignment vertical="center" wrapText="1"/>
    </xf>
    <xf numFmtId="0" fontId="2" fillId="2" borderId="40" xfId="0" applyFont="1" applyFill="1" applyBorder="1" applyAlignment="1">
      <alignment vertical="center" wrapText="1"/>
    </xf>
    <xf numFmtId="44" fontId="8" fillId="2" borderId="16" xfId="0" applyNumberFormat="1" applyFont="1" applyFill="1" applyBorder="1" applyAlignment="1">
      <alignment horizontal="center" vertical="center"/>
    </xf>
    <xf numFmtId="0" fontId="2" fillId="2" borderId="40" xfId="0" applyFont="1" applyFill="1" applyBorder="1"/>
    <xf numFmtId="0" fontId="2" fillId="2" borderId="27" xfId="0" applyFont="1" applyFill="1" applyBorder="1" applyAlignment="1">
      <alignment horizontal="center" vertical="center"/>
    </xf>
    <xf numFmtId="17" fontId="2" fillId="2" borderId="27" xfId="0" applyNumberFormat="1" applyFont="1" applyFill="1" applyBorder="1" applyAlignment="1">
      <alignment horizontal="center" vertical="center"/>
    </xf>
    <xf numFmtId="43" fontId="8" fillId="2" borderId="32" xfId="2" applyFont="1" applyFill="1" applyBorder="1" applyAlignment="1">
      <alignment horizontal="center" vertical="center"/>
    </xf>
    <xf numFmtId="0" fontId="2" fillId="2" borderId="32" xfId="0" applyFont="1" applyFill="1" applyBorder="1" applyAlignment="1">
      <alignment horizontal="center" vertical="center" wrapText="1"/>
    </xf>
    <xf numFmtId="0" fontId="2" fillId="2" borderId="40" xfId="0" applyFont="1" applyFill="1" applyBorder="1" applyAlignment="1">
      <alignment horizontal="right"/>
    </xf>
    <xf numFmtId="0" fontId="2" fillId="2" borderId="24" xfId="0" applyFont="1" applyFill="1" applyBorder="1" applyAlignment="1">
      <alignment horizontal="right" vertical="center"/>
    </xf>
    <xf numFmtId="0" fontId="2" fillId="2" borderId="28" xfId="0" applyFont="1" applyFill="1" applyBorder="1" applyAlignment="1">
      <alignment horizontal="right" vertical="center"/>
    </xf>
    <xf numFmtId="2" fontId="3" fillId="0" borderId="23" xfId="0" applyNumberFormat="1" applyFont="1" applyBorder="1" applyAlignment="1">
      <alignment horizontal="center" vertical="center" wrapText="1"/>
    </xf>
    <xf numFmtId="0" fontId="4" fillId="0" borderId="24" xfId="0" applyFont="1" applyBorder="1" applyAlignment="1">
      <alignment horizontal="center" vertical="center" wrapText="1"/>
    </xf>
    <xf numFmtId="49" fontId="3" fillId="0" borderId="24" xfId="0" applyNumberFormat="1" applyFont="1" applyBorder="1" applyAlignment="1">
      <alignment horizontal="center" vertical="center" wrapText="1"/>
    </xf>
    <xf numFmtId="0" fontId="0" fillId="0" borderId="17" xfId="0" applyBorder="1" applyAlignment="1">
      <alignment horizontal="center"/>
    </xf>
    <xf numFmtId="2" fontId="3" fillId="0" borderId="2" xfId="3" applyNumberFormat="1" applyFont="1" applyBorder="1" applyAlignment="1">
      <alignment vertical="center" wrapText="1"/>
    </xf>
    <xf numFmtId="2" fontId="4" fillId="0" borderId="11" xfId="0" applyNumberFormat="1" applyFont="1" applyBorder="1" applyAlignment="1">
      <alignment vertical="center" wrapText="1"/>
    </xf>
    <xf numFmtId="2" fontId="3" fillId="0" borderId="44" xfId="0" applyNumberFormat="1" applyFont="1" applyBorder="1" applyAlignment="1">
      <alignment vertical="center" wrapText="1"/>
    </xf>
    <xf numFmtId="2" fontId="3" fillId="0" borderId="32" xfId="0" applyNumberFormat="1" applyFont="1" applyBorder="1" applyAlignment="1">
      <alignment horizontal="center" vertical="center" wrapText="1"/>
    </xf>
    <xf numFmtId="43" fontId="3" fillId="0" borderId="32" xfId="2" applyFont="1" applyBorder="1" applyAlignment="1">
      <alignment horizontal="center" vertical="center" wrapText="1"/>
    </xf>
    <xf numFmtId="4" fontId="4" fillId="2" borderId="32" xfId="2" applyNumberFormat="1" applyFont="1" applyFill="1" applyBorder="1" applyAlignment="1">
      <alignment horizontal="right" vertical="center" wrapText="1"/>
    </xf>
    <xf numFmtId="4" fontId="3" fillId="4" borderId="32" xfId="2" applyNumberFormat="1" applyFont="1" applyFill="1" applyBorder="1" applyAlignment="1">
      <alignment horizontal="right" vertical="center" wrapText="1"/>
    </xf>
    <xf numFmtId="0" fontId="4" fillId="5" borderId="28" xfId="0" applyFont="1" applyFill="1" applyBorder="1" applyAlignment="1">
      <alignment horizontal="center" vertical="center" wrapText="1"/>
    </xf>
    <xf numFmtId="0" fontId="3" fillId="5" borderId="29" xfId="0" applyFont="1" applyFill="1" applyBorder="1" applyAlignment="1">
      <alignment horizontal="right" vertical="center" wrapText="1"/>
    </xf>
    <xf numFmtId="10" fontId="4" fillId="5" borderId="29" xfId="4" applyNumberFormat="1" applyFont="1" applyFill="1" applyBorder="1" applyAlignment="1">
      <alignment vertical="center" wrapText="1"/>
    </xf>
    <xf numFmtId="4" fontId="4" fillId="5" borderId="29" xfId="2" applyNumberFormat="1" applyFont="1" applyFill="1" applyBorder="1" applyAlignment="1">
      <alignment horizontal="right" vertical="center" wrapText="1"/>
    </xf>
    <xf numFmtId="4" fontId="3" fillId="5" borderId="33" xfId="2" applyNumberFormat="1" applyFont="1" applyFill="1" applyBorder="1" applyAlignment="1">
      <alignment horizontal="right" vertical="center" wrapText="1"/>
    </xf>
    <xf numFmtId="4" fontId="3" fillId="4" borderId="2" xfId="2" applyNumberFormat="1" applyFont="1" applyFill="1" applyBorder="1" applyAlignment="1">
      <alignment vertical="center" wrapText="1"/>
    </xf>
    <xf numFmtId="10" fontId="4" fillId="0" borderId="1" xfId="4" applyNumberFormat="1" applyFont="1" applyBorder="1" applyAlignment="1">
      <alignment horizontal="center" vertical="center" wrapText="1"/>
    </xf>
    <xf numFmtId="170" fontId="4" fillId="2" borderId="32" xfId="4" applyNumberFormat="1" applyFont="1" applyFill="1" applyBorder="1" applyAlignment="1">
      <alignment horizontal="right" vertical="center" wrapText="1"/>
    </xf>
    <xf numFmtId="4" fontId="3" fillId="4" borderId="27" xfId="2" applyNumberFormat="1" applyFont="1" applyFill="1" applyBorder="1" applyAlignment="1">
      <alignment vertical="center" wrapText="1"/>
    </xf>
    <xf numFmtId="4" fontId="3" fillId="5" borderId="30" xfId="2" applyNumberFormat="1" applyFont="1" applyFill="1" applyBorder="1" applyAlignment="1">
      <alignment vertical="center" wrapText="1"/>
    </xf>
    <xf numFmtId="4" fontId="3" fillId="5" borderId="43" xfId="2" applyNumberFormat="1" applyFont="1" applyFill="1" applyBorder="1" applyAlignment="1">
      <alignment vertical="center" wrapText="1"/>
    </xf>
    <xf numFmtId="10" fontId="24" fillId="0" borderId="0" xfId="4" applyNumberFormat="1" applyFont="1" applyFill="1" applyBorder="1" applyAlignment="1">
      <alignment horizontal="center" vertical="center" wrapText="1"/>
    </xf>
    <xf numFmtId="2" fontId="3" fillId="0" borderId="24" xfId="0" applyNumberFormat="1" applyFont="1" applyBorder="1" applyAlignment="1">
      <alignment horizontal="center" vertical="center" wrapText="1"/>
    </xf>
    <xf numFmtId="2" fontId="3" fillId="0" borderId="24" xfId="3" applyNumberFormat="1" applyFont="1" applyBorder="1" applyAlignment="1">
      <alignment horizontal="center" vertical="center" wrapText="1"/>
    </xf>
    <xf numFmtId="0" fontId="2" fillId="2" borderId="1" xfId="0" applyFont="1" applyFill="1" applyBorder="1" applyAlignment="1">
      <alignment horizontal="center" vertical="center"/>
    </xf>
    <xf numFmtId="3" fontId="2" fillId="2" borderId="24" xfId="0" applyNumberFormat="1" applyFont="1" applyFill="1" applyBorder="1" applyAlignment="1">
      <alignment horizontal="center" vertical="center"/>
    </xf>
    <xf numFmtId="0" fontId="8" fillId="2" borderId="24" xfId="0" applyFont="1" applyFill="1" applyBorder="1" applyAlignment="1">
      <alignment horizontal="center" vertical="center"/>
    </xf>
    <xf numFmtId="169" fontId="2" fillId="2" borderId="1" xfId="2"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0" fontId="3" fillId="2" borderId="2" xfId="0" applyFont="1" applyFill="1" applyBorder="1" applyAlignment="1">
      <alignment vertical="center" wrapText="1"/>
    </xf>
    <xf numFmtId="0" fontId="29" fillId="7" borderId="0" xfId="0" applyFont="1" applyFill="1" applyAlignment="1">
      <alignment horizontal="left" vertical="top" wrapText="1"/>
    </xf>
    <xf numFmtId="0" fontId="30" fillId="7" borderId="0" xfId="0" applyFont="1" applyFill="1" applyAlignment="1">
      <alignment horizontal="left" vertical="top" wrapText="1"/>
    </xf>
    <xf numFmtId="0" fontId="30" fillId="7" borderId="0" xfId="0" applyFont="1" applyFill="1" applyAlignment="1">
      <alignment horizontal="center" vertical="center" wrapText="1"/>
    </xf>
    <xf numFmtId="10" fontId="30" fillId="7" borderId="0" xfId="0" applyNumberFormat="1" applyFont="1" applyFill="1" applyAlignment="1">
      <alignment horizontal="center" vertical="center" wrapText="1"/>
    </xf>
    <xf numFmtId="10" fontId="30" fillId="7" borderId="0" xfId="0" applyNumberFormat="1" applyFont="1" applyFill="1" applyAlignment="1">
      <alignment horizontal="left" vertical="top" wrapText="1"/>
    </xf>
    <xf numFmtId="0" fontId="29" fillId="7" borderId="47" xfId="0" applyFont="1" applyFill="1" applyBorder="1" applyAlignment="1">
      <alignment horizontal="left" vertical="top" wrapText="1"/>
    </xf>
    <xf numFmtId="0" fontId="29" fillId="7" borderId="47" xfId="0" applyFont="1" applyFill="1" applyBorder="1" applyAlignment="1">
      <alignment horizontal="right" vertical="top" wrapText="1"/>
    </xf>
    <xf numFmtId="0" fontId="29" fillId="7" borderId="47" xfId="0" applyFont="1" applyFill="1" applyBorder="1" applyAlignment="1">
      <alignment horizontal="center" vertical="top" wrapText="1"/>
    </xf>
    <xf numFmtId="0" fontId="31" fillId="8" borderId="47" xfId="0" applyFont="1" applyFill="1" applyBorder="1" applyAlignment="1">
      <alignment horizontal="left" vertical="top" wrapText="1"/>
    </xf>
    <xf numFmtId="0" fontId="31" fillId="8" borderId="47" xfId="0" applyFont="1" applyFill="1" applyBorder="1" applyAlignment="1">
      <alignment horizontal="right" vertical="top" wrapText="1"/>
    </xf>
    <xf numFmtId="8" fontId="31" fillId="8" borderId="47" xfId="0" applyNumberFormat="1" applyFont="1" applyFill="1" applyBorder="1" applyAlignment="1">
      <alignment horizontal="left" vertical="top" wrapText="1"/>
    </xf>
    <xf numFmtId="8" fontId="31" fillId="8" borderId="47" xfId="0" applyNumberFormat="1" applyFont="1" applyFill="1" applyBorder="1" applyAlignment="1">
      <alignment horizontal="right" vertical="top" wrapText="1"/>
    </xf>
    <xf numFmtId="171" fontId="31" fillId="8" borderId="47" xfId="0" applyNumberFormat="1" applyFont="1" applyFill="1" applyBorder="1" applyAlignment="1">
      <alignment horizontal="right" vertical="top" wrapText="1"/>
    </xf>
    <xf numFmtId="0" fontId="32" fillId="9" borderId="47" xfId="0" applyFont="1" applyFill="1" applyBorder="1" applyAlignment="1">
      <alignment horizontal="left" vertical="top" wrapText="1"/>
    </xf>
    <xf numFmtId="0" fontId="32" fillId="9" borderId="47" xfId="0" applyFont="1" applyFill="1" applyBorder="1" applyAlignment="1">
      <alignment horizontal="right" vertical="top" wrapText="1"/>
    </xf>
    <xf numFmtId="0" fontId="32" fillId="9" borderId="47" xfId="0" applyFont="1" applyFill="1" applyBorder="1" applyAlignment="1">
      <alignment horizontal="center" vertical="top" wrapText="1"/>
    </xf>
    <xf numFmtId="4" fontId="32" fillId="9" borderId="47" xfId="0" applyNumberFormat="1" applyFont="1" applyFill="1" applyBorder="1" applyAlignment="1">
      <alignment horizontal="right" vertical="top" wrapText="1"/>
    </xf>
    <xf numFmtId="8" fontId="32" fillId="9" borderId="47" xfId="0" applyNumberFormat="1" applyFont="1" applyFill="1" applyBorder="1" applyAlignment="1">
      <alignment horizontal="right" vertical="top" wrapText="1"/>
    </xf>
    <xf numFmtId="171" fontId="32" fillId="9" borderId="47" xfId="0" applyNumberFormat="1" applyFont="1" applyFill="1" applyBorder="1" applyAlignment="1">
      <alignment horizontal="right" vertical="top" wrapText="1"/>
    </xf>
    <xf numFmtId="0" fontId="32" fillId="10" borderId="47" xfId="0" applyFont="1" applyFill="1" applyBorder="1" applyAlignment="1">
      <alignment horizontal="left" vertical="top" wrapText="1"/>
    </xf>
    <xf numFmtId="0" fontId="32" fillId="10" borderId="47" xfId="0" applyFont="1" applyFill="1" applyBorder="1" applyAlignment="1">
      <alignment horizontal="right" vertical="top" wrapText="1"/>
    </xf>
    <xf numFmtId="0" fontId="32" fillId="10" borderId="47" xfId="0" applyFont="1" applyFill="1" applyBorder="1" applyAlignment="1">
      <alignment horizontal="center" vertical="top" wrapText="1"/>
    </xf>
    <xf numFmtId="4" fontId="32" fillId="10" borderId="47" xfId="0" applyNumberFormat="1" applyFont="1" applyFill="1" applyBorder="1" applyAlignment="1">
      <alignment horizontal="right" vertical="top" wrapText="1"/>
    </xf>
    <xf numFmtId="8" fontId="32" fillId="10" borderId="47" xfId="0" applyNumberFormat="1" applyFont="1" applyFill="1" applyBorder="1" applyAlignment="1">
      <alignment horizontal="right" vertical="top" wrapText="1"/>
    </xf>
    <xf numFmtId="171" fontId="32" fillId="10" borderId="47" xfId="0" applyNumberFormat="1" applyFont="1" applyFill="1" applyBorder="1" applyAlignment="1">
      <alignment horizontal="right" vertical="top" wrapText="1"/>
    </xf>
    <xf numFmtId="4" fontId="31" fillId="8" borderId="47" xfId="0" applyNumberFormat="1" applyFont="1" applyFill="1" applyBorder="1" applyAlignment="1">
      <alignment horizontal="right" vertical="top" wrapText="1"/>
    </xf>
    <xf numFmtId="0" fontId="33" fillId="7" borderId="0" xfId="0" applyFont="1" applyFill="1" applyAlignment="1">
      <alignment horizontal="center" vertical="top" wrapText="1"/>
    </xf>
    <xf numFmtId="8" fontId="33" fillId="7" borderId="0" xfId="0" applyNumberFormat="1" applyFont="1" applyFill="1" applyAlignment="1">
      <alignment horizontal="center" vertical="top" wrapText="1"/>
    </xf>
    <xf numFmtId="0" fontId="30" fillId="7" borderId="0" xfId="0" applyFont="1" applyFill="1" applyAlignment="1">
      <alignment horizontal="right" vertical="top" wrapText="1"/>
    </xf>
    <xf numFmtId="0" fontId="30" fillId="7" borderId="0" xfId="0" applyFont="1" applyFill="1" applyAlignment="1">
      <alignment horizontal="center" vertical="top" wrapText="1"/>
    </xf>
    <xf numFmtId="8" fontId="30" fillId="7" borderId="0" xfId="0" applyNumberFormat="1" applyFont="1" applyFill="1" applyAlignment="1">
      <alignment horizontal="center" vertical="top" wrapText="1"/>
    </xf>
    <xf numFmtId="4" fontId="32" fillId="6" borderId="47" xfId="0" applyNumberFormat="1" applyFont="1" applyFill="1" applyBorder="1" applyAlignment="1">
      <alignment horizontal="right" vertical="top" wrapText="1"/>
    </xf>
    <xf numFmtId="0" fontId="8" fillId="2" borderId="3" xfId="0" applyFont="1" applyFill="1" applyBorder="1" applyAlignment="1">
      <alignment horizontal="center" vertical="center"/>
    </xf>
    <xf numFmtId="0" fontId="4" fillId="2" borderId="1" xfId="0" applyFont="1" applyFill="1" applyBorder="1" applyAlignment="1">
      <alignment horizontal="left" vertical="center" wrapText="1"/>
    </xf>
    <xf numFmtId="0" fontId="8"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3" fontId="11" fillId="11" borderId="24"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0" fontId="4" fillId="2" borderId="3" xfId="0" applyFont="1" applyFill="1" applyBorder="1" applyAlignment="1">
      <alignment vertical="center" wrapText="1"/>
    </xf>
    <xf numFmtId="43" fontId="2" fillId="11" borderId="1" xfId="2" applyFont="1" applyFill="1" applyBorder="1" applyAlignment="1">
      <alignment horizontal="center" vertical="center"/>
    </xf>
    <xf numFmtId="44" fontId="11" fillId="2" borderId="2" xfId="0" applyNumberFormat="1" applyFont="1" applyFill="1" applyBorder="1" applyAlignment="1">
      <alignment horizontal="center" vertical="center"/>
    </xf>
    <xf numFmtId="43" fontId="2" fillId="2" borderId="0" xfId="2" applyFont="1" applyFill="1" applyBorder="1" applyAlignment="1">
      <alignment horizontal="center" vertical="center"/>
    </xf>
    <xf numFmtId="0" fontId="2" fillId="2" borderId="16" xfId="0" applyFont="1" applyFill="1" applyBorder="1" applyAlignment="1">
      <alignment horizontal="left" vertical="center"/>
    </xf>
    <xf numFmtId="0" fontId="2" fillId="2" borderId="16" xfId="0" applyFont="1" applyFill="1" applyBorder="1" applyAlignment="1">
      <alignment horizontal="left" vertical="center" wrapText="1"/>
    </xf>
    <xf numFmtId="43" fontId="2" fillId="2" borderId="17" xfId="2" applyFont="1" applyFill="1" applyBorder="1" applyAlignment="1">
      <alignment horizontal="center" vertical="center"/>
    </xf>
    <xf numFmtId="0" fontId="2" fillId="2" borderId="17" xfId="0" applyFont="1" applyFill="1" applyBorder="1" applyAlignment="1">
      <alignment horizontal="right" vertical="center"/>
    </xf>
    <xf numFmtId="0" fontId="2" fillId="2" borderId="35" xfId="0" applyFont="1" applyFill="1" applyBorder="1" applyAlignment="1">
      <alignment horizontal="right" vertical="center"/>
    </xf>
    <xf numFmtId="0" fontId="2" fillId="2" borderId="5" xfId="0" applyFont="1" applyFill="1" applyBorder="1" applyAlignment="1">
      <alignment horizontal="left" wrapText="1"/>
    </xf>
    <xf numFmtId="44" fontId="2" fillId="2" borderId="5" xfId="0" applyNumberFormat="1" applyFont="1" applyFill="1" applyBorder="1" applyAlignment="1">
      <alignment horizontal="left" wrapText="1"/>
    </xf>
    <xf numFmtId="49" fontId="4" fillId="0" borderId="24" xfId="0" applyNumberFormat="1" applyFont="1" applyBorder="1" applyAlignment="1">
      <alignment horizontal="center" vertical="center" wrapText="1"/>
    </xf>
    <xf numFmtId="0" fontId="4" fillId="0" borderId="1" xfId="0" applyFont="1" applyBorder="1" applyAlignment="1">
      <alignment horizontal="left" vertical="center" wrapText="1"/>
    </xf>
    <xf numFmtId="2" fontId="2" fillId="2" borderId="2" xfId="0" applyNumberFormat="1" applyFont="1" applyFill="1" applyBorder="1" applyAlignment="1">
      <alignment horizontal="left" vertical="center"/>
    </xf>
    <xf numFmtId="2" fontId="4" fillId="0" borderId="2" xfId="3" applyNumberFormat="1" applyFont="1" applyBorder="1" applyAlignment="1">
      <alignment horizontal="left" vertical="center" wrapText="1"/>
    </xf>
    <xf numFmtId="2" fontId="4" fillId="0" borderId="32" xfId="3" applyNumberFormat="1" applyFont="1" applyBorder="1" applyAlignment="1">
      <alignment horizontal="center" vertical="center" wrapText="1"/>
    </xf>
    <xf numFmtId="2" fontId="4" fillId="0" borderId="41" xfId="3" applyNumberFormat="1" applyFont="1" applyBorder="1" applyAlignment="1">
      <alignment horizontal="center" vertical="center" wrapText="1"/>
    </xf>
    <xf numFmtId="169" fontId="2" fillId="2" borderId="0" xfId="0" applyNumberFormat="1" applyFont="1" applyFill="1" applyAlignment="1">
      <alignment horizontal="center" vertical="center" wrapText="1"/>
    </xf>
    <xf numFmtId="169" fontId="2" fillId="2" borderId="0" xfId="0" applyNumberFormat="1" applyFont="1" applyFill="1" applyAlignment="1">
      <alignment vertical="center" wrapText="1"/>
    </xf>
    <xf numFmtId="0" fontId="3" fillId="0" borderId="32" xfId="0" applyFont="1" applyBorder="1" applyAlignment="1">
      <alignment vertical="center" wrapText="1"/>
    </xf>
    <xf numFmtId="0" fontId="3" fillId="5" borderId="29" xfId="0" applyFont="1" applyFill="1" applyBorder="1" applyAlignment="1">
      <alignment vertical="center" wrapText="1"/>
    </xf>
    <xf numFmtId="43" fontId="2" fillId="2" borderId="11" xfId="2" applyFont="1" applyFill="1" applyBorder="1" applyAlignment="1">
      <alignment horizontal="center" vertical="center"/>
    </xf>
    <xf numFmtId="0" fontId="4" fillId="2" borderId="1" xfId="0" applyFont="1" applyFill="1" applyBorder="1" applyAlignment="1">
      <alignment horizontal="justify" vertical="top" wrapText="1"/>
    </xf>
    <xf numFmtId="0" fontId="36" fillId="0" borderId="0" xfId="0" applyFont="1"/>
    <xf numFmtId="0" fontId="37" fillId="0" borderId="0" xfId="0" applyFont="1" applyAlignment="1">
      <alignment horizontal="center"/>
    </xf>
    <xf numFmtId="0" fontId="37" fillId="0" borderId="29" xfId="0" applyFont="1" applyBorder="1" applyAlignment="1">
      <alignment horizontal="center" vertical="center"/>
    </xf>
    <xf numFmtId="0" fontId="37" fillId="0" borderId="33" xfId="0" applyFont="1" applyBorder="1" applyAlignment="1">
      <alignment horizontal="center" vertical="center"/>
    </xf>
    <xf numFmtId="0" fontId="37" fillId="0" borderId="0" xfId="0" applyFont="1" applyAlignment="1">
      <alignment horizontal="center" vertical="center"/>
    </xf>
    <xf numFmtId="0" fontId="36" fillId="0" borderId="49" xfId="0" applyFont="1" applyBorder="1"/>
    <xf numFmtId="0" fontId="36" fillId="0" borderId="50" xfId="0" applyFont="1" applyBorder="1" applyAlignment="1">
      <alignment horizontal="center"/>
    </xf>
    <xf numFmtId="165" fontId="38" fillId="12" borderId="50" xfId="5" applyFont="1" applyFill="1" applyBorder="1"/>
    <xf numFmtId="165" fontId="36" fillId="0" borderId="51" xfId="5" applyFont="1" applyBorder="1"/>
    <xf numFmtId="165" fontId="36" fillId="0" borderId="0" xfId="5" applyFont="1" applyFill="1" applyBorder="1"/>
    <xf numFmtId="0" fontId="36" fillId="0" borderId="49" xfId="0" applyFont="1" applyBorder="1" applyAlignment="1">
      <alignment wrapText="1"/>
    </xf>
    <xf numFmtId="0" fontId="36" fillId="0" borderId="52" xfId="0" applyFont="1" applyBorder="1" applyAlignment="1">
      <alignment horizontal="center"/>
    </xf>
    <xf numFmtId="165" fontId="36" fillId="12" borderId="52" xfId="5" applyFont="1" applyFill="1" applyBorder="1"/>
    <xf numFmtId="165" fontId="37" fillId="13" borderId="53" xfId="5" applyFont="1" applyFill="1" applyBorder="1"/>
    <xf numFmtId="165" fontId="37" fillId="0" borderId="0" xfId="5" applyFont="1" applyFill="1" applyBorder="1"/>
    <xf numFmtId="0" fontId="37" fillId="0" borderId="0" xfId="0" applyFont="1"/>
    <xf numFmtId="165" fontId="36" fillId="12" borderId="50" xfId="5" applyFont="1" applyFill="1" applyBorder="1"/>
    <xf numFmtId="0" fontId="8" fillId="2" borderId="0" xfId="0" applyFont="1" applyFill="1" applyAlignment="1">
      <alignment horizontal="center"/>
    </xf>
    <xf numFmtId="44" fontId="8" fillId="0" borderId="0" xfId="0" applyNumberFormat="1" applyFont="1" applyAlignment="1">
      <alignment horizontal="center" vertical="center"/>
    </xf>
    <xf numFmtId="10" fontId="4" fillId="2" borderId="1" xfId="2" applyNumberFormat="1" applyFont="1" applyFill="1" applyBorder="1" applyAlignment="1">
      <alignment vertical="center"/>
    </xf>
    <xf numFmtId="44" fontId="2" fillId="2" borderId="0" xfId="0" applyNumberFormat="1" applyFont="1" applyFill="1" applyAlignment="1">
      <alignment vertical="center"/>
    </xf>
    <xf numFmtId="166" fontId="2" fillId="2" borderId="1" xfId="2" applyNumberFormat="1" applyFont="1" applyFill="1" applyBorder="1" applyAlignment="1">
      <alignment vertical="center"/>
    </xf>
    <xf numFmtId="44" fontId="8" fillId="2" borderId="0" xfId="0" applyNumberFormat="1" applyFont="1" applyFill="1" applyAlignment="1">
      <alignment horizontal="center" vertical="center"/>
    </xf>
    <xf numFmtId="166" fontId="2" fillId="2" borderId="1" xfId="2" applyNumberFormat="1" applyFont="1" applyFill="1" applyBorder="1" applyAlignment="1">
      <alignment horizontal="center" vertical="center"/>
    </xf>
    <xf numFmtId="43" fontId="2" fillId="2" borderId="0" xfId="2" applyFont="1" applyFill="1" applyAlignment="1">
      <alignment horizontal="left" vertical="center" wrapText="1"/>
    </xf>
    <xf numFmtId="2" fontId="4" fillId="2" borderId="1" xfId="2" applyNumberFormat="1" applyFont="1" applyFill="1" applyBorder="1" applyAlignment="1">
      <alignment vertical="center"/>
    </xf>
    <xf numFmtId="0" fontId="4" fillId="2" borderId="1" xfId="0" applyFont="1" applyFill="1" applyBorder="1" applyAlignment="1">
      <alignment horizontal="center" wrapText="1"/>
    </xf>
    <xf numFmtId="0" fontId="4"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applyAlignment="1">
      <alignment wrapText="1"/>
    </xf>
    <xf numFmtId="0" fontId="2" fillId="14" borderId="22" xfId="0" applyFont="1" applyFill="1" applyBorder="1" applyAlignment="1">
      <alignment horizontal="right" vertical="center"/>
    </xf>
    <xf numFmtId="43" fontId="4" fillId="15" borderId="41" xfId="2" applyFont="1" applyFill="1" applyBorder="1" applyAlignment="1">
      <alignment horizontal="right" vertical="center" wrapText="1"/>
    </xf>
    <xf numFmtId="0" fontId="2" fillId="2" borderId="0" xfId="0" applyFont="1" applyFill="1" applyAlignment="1">
      <alignment wrapText="1"/>
    </xf>
    <xf numFmtId="0" fontId="2" fillId="14" borderId="28" xfId="0" applyFont="1" applyFill="1" applyBorder="1" applyAlignment="1">
      <alignment horizontal="right" vertical="center"/>
    </xf>
    <xf numFmtId="0" fontId="2" fillId="14" borderId="33" xfId="0" applyFont="1" applyFill="1" applyBorder="1" applyAlignment="1">
      <alignment horizontal="center" vertical="center"/>
    </xf>
    <xf numFmtId="0" fontId="4" fillId="15" borderId="41" xfId="0" applyFont="1" applyFill="1" applyBorder="1" applyAlignment="1">
      <alignment horizontal="right" vertical="center" wrapText="1"/>
    </xf>
    <xf numFmtId="0" fontId="2" fillId="14" borderId="22" xfId="0" applyFont="1" applyFill="1" applyBorder="1" applyAlignment="1">
      <alignment horizontal="right" vertical="center" wrapText="1"/>
    </xf>
    <xf numFmtId="167" fontId="2" fillId="2" borderId="0" xfId="0" applyNumberFormat="1" applyFont="1" applyFill="1" applyAlignment="1">
      <alignment horizontal="left" vertical="center" wrapText="1"/>
    </xf>
    <xf numFmtId="2" fontId="2" fillId="2" borderId="0" xfId="0" applyNumberFormat="1" applyFont="1" applyFill="1" applyAlignment="1">
      <alignment horizontal="left" vertical="center" wrapText="1"/>
    </xf>
    <xf numFmtId="0" fontId="2" fillId="2" borderId="0" xfId="0" applyFont="1" applyFill="1" applyAlignment="1">
      <alignment horizontal="right" vertical="top"/>
    </xf>
    <xf numFmtId="0" fontId="2" fillId="2" borderId="0" xfId="0" applyFont="1" applyFill="1" applyAlignment="1">
      <alignment vertical="top" wrapText="1"/>
    </xf>
    <xf numFmtId="166" fontId="2" fillId="2" borderId="0" xfId="2" applyNumberFormat="1" applyFont="1" applyFill="1" applyAlignment="1">
      <alignment horizontal="center" vertical="center"/>
    </xf>
    <xf numFmtId="43" fontId="2" fillId="2" borderId="0" xfId="2" applyFont="1" applyFill="1" applyAlignment="1">
      <alignment horizontal="center" vertical="center" wrapText="1"/>
    </xf>
    <xf numFmtId="3" fontId="8" fillId="16" borderId="24" xfId="0" applyNumberFormat="1" applyFont="1" applyFill="1" applyBorder="1" applyAlignment="1">
      <alignment horizontal="center" vertical="center"/>
    </xf>
    <xf numFmtId="3" fontId="8" fillId="16" borderId="11" xfId="0" applyNumberFormat="1" applyFont="1" applyFill="1" applyBorder="1" applyAlignment="1">
      <alignment horizontal="center" vertical="center"/>
    </xf>
    <xf numFmtId="0" fontId="8" fillId="16" borderId="2" xfId="0" applyFont="1" applyFill="1" applyBorder="1" applyAlignment="1">
      <alignment vertical="center" wrapText="1"/>
    </xf>
    <xf numFmtId="0" fontId="8" fillId="16" borderId="11" xfId="0" applyFont="1" applyFill="1" applyBorder="1" applyAlignment="1">
      <alignment vertical="center" wrapText="1"/>
    </xf>
    <xf numFmtId="3" fontId="8" fillId="17" borderId="24" xfId="0" applyNumberFormat="1" applyFont="1" applyFill="1" applyBorder="1" applyAlignment="1">
      <alignment horizontal="center" vertical="center"/>
    </xf>
    <xf numFmtId="3" fontId="8" fillId="17" borderId="11" xfId="0" applyNumberFormat="1" applyFont="1" applyFill="1" applyBorder="1" applyAlignment="1">
      <alignment horizontal="center" vertical="center"/>
    </xf>
    <xf numFmtId="0" fontId="3" fillId="17" borderId="2" xfId="0" applyFont="1" applyFill="1" applyBorder="1" applyAlignment="1">
      <alignment vertical="center" wrapText="1"/>
    </xf>
    <xf numFmtId="0" fontId="3" fillId="17" borderId="11" xfId="0" applyFont="1" applyFill="1" applyBorder="1" applyAlignment="1">
      <alignment horizontal="center" vertical="center" wrapText="1"/>
    </xf>
    <xf numFmtId="3" fontId="2" fillId="18" borderId="24" xfId="0" applyNumberFormat="1" applyFont="1" applyFill="1" applyBorder="1" applyAlignment="1">
      <alignment horizontal="center" vertical="center"/>
    </xf>
    <xf numFmtId="3" fontId="2" fillId="18" borderId="3" xfId="0" applyNumberFormat="1" applyFont="1" applyFill="1" applyBorder="1" applyAlignment="1">
      <alignment horizontal="center" vertical="center"/>
    </xf>
    <xf numFmtId="0" fontId="4" fillId="18" borderId="3" xfId="0" applyFont="1" applyFill="1" applyBorder="1" applyAlignment="1">
      <alignment horizontal="left" vertical="center" wrapText="1"/>
    </xf>
    <xf numFmtId="166" fontId="4" fillId="18" borderId="1" xfId="2" applyNumberFormat="1" applyFont="1" applyFill="1" applyBorder="1" applyAlignment="1">
      <alignment horizontal="center" vertical="center"/>
    </xf>
    <xf numFmtId="43" fontId="2" fillId="18" borderId="1" xfId="2" applyFont="1" applyFill="1" applyBorder="1" applyAlignment="1">
      <alignment horizontal="center" vertical="center"/>
    </xf>
    <xf numFmtId="0" fontId="2" fillId="18" borderId="1" xfId="0" applyFont="1" applyFill="1" applyBorder="1" applyAlignment="1">
      <alignment horizontal="center" vertical="center"/>
    </xf>
    <xf numFmtId="0" fontId="4" fillId="18" borderId="1" xfId="0" applyFont="1" applyFill="1" applyBorder="1" applyAlignment="1">
      <alignment horizontal="left" vertical="center" wrapText="1"/>
    </xf>
    <xf numFmtId="169" fontId="2" fillId="18" borderId="1" xfId="2" applyNumberFormat="1" applyFont="1" applyFill="1" applyBorder="1" applyAlignment="1">
      <alignment horizontal="center" vertical="center"/>
    </xf>
    <xf numFmtId="3" fontId="2" fillId="15" borderId="24" xfId="0" applyNumberFormat="1" applyFont="1" applyFill="1" applyBorder="1" applyAlignment="1">
      <alignment horizontal="center" vertical="center"/>
    </xf>
    <xf numFmtId="3" fontId="8" fillId="15" borderId="1" xfId="0" applyNumberFormat="1" applyFont="1" applyFill="1" applyBorder="1" applyAlignment="1">
      <alignment horizontal="center" vertical="center"/>
    </xf>
    <xf numFmtId="0" fontId="4" fillId="15" borderId="1" xfId="0" applyFont="1" applyFill="1" applyBorder="1" applyAlignment="1">
      <alignment horizontal="left" vertical="center" wrapText="1"/>
    </xf>
    <xf numFmtId="166" fontId="4" fillId="15" borderId="1" xfId="2" applyNumberFormat="1" applyFont="1" applyFill="1" applyBorder="1" applyAlignment="1">
      <alignment horizontal="center" vertical="center"/>
    </xf>
    <xf numFmtId="43" fontId="2" fillId="15" borderId="1" xfId="2" applyFont="1" applyFill="1" applyBorder="1" applyAlignment="1">
      <alignment horizontal="center" vertical="center"/>
    </xf>
    <xf numFmtId="0" fontId="2" fillId="15" borderId="1" xfId="0" applyFont="1" applyFill="1" applyBorder="1" applyAlignment="1">
      <alignment horizontal="center" vertical="center"/>
    </xf>
    <xf numFmtId="44" fontId="35" fillId="15" borderId="2" xfId="0" applyNumberFormat="1" applyFont="1" applyFill="1" applyBorder="1" applyAlignment="1">
      <alignment horizontal="center" vertical="center"/>
    </xf>
    <xf numFmtId="0" fontId="2" fillId="2" borderId="29" xfId="0" applyFont="1" applyFill="1" applyBorder="1" applyAlignment="1">
      <alignment horizontal="left" wrapText="1"/>
    </xf>
    <xf numFmtId="44" fontId="2" fillId="2" borderId="29" xfId="0" applyNumberFormat="1" applyFont="1" applyFill="1" applyBorder="1" applyAlignment="1">
      <alignment horizontal="left" wrapText="1"/>
    </xf>
    <xf numFmtId="0" fontId="2" fillId="2" borderId="17" xfId="0" applyFont="1" applyFill="1" applyBorder="1" applyAlignment="1">
      <alignment vertical="center"/>
    </xf>
    <xf numFmtId="0" fontId="2" fillId="2" borderId="18" xfId="0" applyFont="1" applyFill="1" applyBorder="1" applyAlignment="1">
      <alignment horizontal="left" vertical="center" wrapText="1"/>
    </xf>
    <xf numFmtId="0" fontId="8" fillId="19" borderId="24" xfId="0" applyFont="1" applyFill="1" applyBorder="1" applyAlignment="1">
      <alignment horizontal="center" vertical="center"/>
    </xf>
    <xf numFmtId="0" fontId="3" fillId="19" borderId="2" xfId="0" applyFont="1" applyFill="1" applyBorder="1" applyAlignment="1">
      <alignment vertical="center" wrapText="1"/>
    </xf>
    <xf numFmtId="43" fontId="3" fillId="19" borderId="1" xfId="2" applyFont="1" applyFill="1" applyBorder="1" applyAlignment="1">
      <alignment horizontal="center" vertical="center"/>
    </xf>
    <xf numFmtId="2" fontId="8" fillId="19" borderId="1" xfId="0" applyNumberFormat="1" applyFont="1" applyFill="1" applyBorder="1" applyAlignment="1">
      <alignment horizontal="center" vertical="center"/>
    </xf>
    <xf numFmtId="0" fontId="8" fillId="19" borderId="1" xfId="0" applyFont="1" applyFill="1" applyBorder="1" applyAlignment="1">
      <alignment horizontal="center" vertical="center"/>
    </xf>
    <xf numFmtId="44" fontId="8" fillId="19" borderId="1" xfId="0" applyNumberFormat="1" applyFont="1" applyFill="1" applyBorder="1" applyAlignment="1">
      <alignment horizontal="center" vertical="center"/>
    </xf>
    <xf numFmtId="44" fontId="8" fillId="19" borderId="32" xfId="0" applyNumberFormat="1" applyFont="1" applyFill="1" applyBorder="1" applyAlignment="1">
      <alignment horizontal="center" vertical="center"/>
    </xf>
    <xf numFmtId="44" fontId="8" fillId="0" borderId="32" xfId="0" applyNumberFormat="1" applyFont="1" applyBorder="1" applyAlignment="1">
      <alignment horizontal="center" vertical="center"/>
    </xf>
    <xf numFmtId="0" fontId="8" fillId="16" borderId="27" xfId="0" applyFont="1" applyFill="1" applyBorder="1" applyAlignment="1">
      <alignment vertical="center" wrapText="1"/>
    </xf>
    <xf numFmtId="44" fontId="2" fillId="15" borderId="32" xfId="0" applyNumberFormat="1" applyFont="1" applyFill="1" applyBorder="1" applyAlignment="1">
      <alignment horizontal="center" vertical="center"/>
    </xf>
    <xf numFmtId="44" fontId="2" fillId="2" borderId="32" xfId="0" applyNumberFormat="1" applyFont="1" applyFill="1" applyBorder="1" applyAlignment="1">
      <alignment horizontal="center" vertical="center"/>
    </xf>
    <xf numFmtId="44" fontId="11" fillId="2" borderId="32" xfId="0" applyNumberFormat="1" applyFont="1" applyFill="1" applyBorder="1" applyAlignment="1">
      <alignment horizontal="center" vertical="center"/>
    </xf>
    <xf numFmtId="0" fontId="3" fillId="17" borderId="27" xfId="0" applyFont="1" applyFill="1" applyBorder="1" applyAlignment="1">
      <alignment horizontal="center" vertical="center" wrapText="1"/>
    </xf>
    <xf numFmtId="44" fontId="2" fillId="18" borderId="32" xfId="0" applyNumberFormat="1" applyFont="1" applyFill="1" applyBorder="1" applyAlignment="1">
      <alignment horizontal="center" vertical="center"/>
    </xf>
    <xf numFmtId="44" fontId="35" fillId="2" borderId="30" xfId="0" applyNumberFormat="1" applyFont="1" applyFill="1" applyBorder="1" applyAlignment="1">
      <alignment horizontal="center" vertical="center"/>
    </xf>
    <xf numFmtId="44" fontId="35" fillId="2" borderId="33" xfId="0" applyNumberFormat="1" applyFont="1" applyFill="1" applyBorder="1" applyAlignment="1">
      <alignment horizontal="center" vertical="center"/>
    </xf>
    <xf numFmtId="10" fontId="2" fillId="2" borderId="0" xfId="4" applyNumberFormat="1" applyFont="1" applyFill="1" applyAlignment="1">
      <alignment horizontal="center" vertical="center"/>
    </xf>
    <xf numFmtId="8" fontId="32" fillId="6" borderId="47" xfId="0" applyNumberFormat="1" applyFont="1" applyFill="1" applyBorder="1" applyAlignment="1">
      <alignment horizontal="right" vertical="top" wrapText="1"/>
    </xf>
    <xf numFmtId="0" fontId="2" fillId="2" borderId="24" xfId="0" applyFont="1" applyFill="1" applyBorder="1" applyAlignment="1">
      <alignment horizontal="center" vertical="center" wrapText="1"/>
    </xf>
    <xf numFmtId="4" fontId="4" fillId="2" borderId="1" xfId="2" applyNumberFormat="1" applyFont="1" applyFill="1" applyBorder="1" applyAlignment="1">
      <alignment horizontal="center" vertical="center" wrapText="1"/>
    </xf>
    <xf numFmtId="4" fontId="4" fillId="2" borderId="32" xfId="2" applyNumberFormat="1" applyFont="1" applyFill="1" applyBorder="1" applyAlignment="1">
      <alignment horizontal="center" vertical="center" wrapText="1"/>
    </xf>
    <xf numFmtId="166" fontId="4" fillId="6" borderId="1" xfId="2" applyNumberFormat="1" applyFont="1" applyFill="1" applyBorder="1" applyAlignment="1">
      <alignment horizontal="center" vertical="center"/>
    </xf>
    <xf numFmtId="169" fontId="4" fillId="2" borderId="1" xfId="4" applyNumberFormat="1" applyFont="1" applyFill="1" applyBorder="1" applyAlignment="1">
      <alignment horizontal="center" vertical="center" wrapText="1"/>
    </xf>
    <xf numFmtId="4" fontId="4" fillId="5" borderId="29" xfId="2" applyNumberFormat="1" applyFont="1" applyFill="1" applyBorder="1" applyAlignment="1">
      <alignment horizontal="center" vertical="center" wrapText="1"/>
    </xf>
    <xf numFmtId="169" fontId="3" fillId="0" borderId="1" xfId="0" applyNumberFormat="1" applyFont="1" applyBorder="1" applyAlignment="1">
      <alignment horizontal="center" vertical="center" wrapText="1"/>
    </xf>
    <xf numFmtId="169" fontId="3" fillId="5" borderId="29" xfId="4" applyNumberFormat="1" applyFont="1" applyFill="1" applyBorder="1" applyAlignment="1">
      <alignment vertical="center" wrapText="1"/>
    </xf>
    <xf numFmtId="4" fontId="4" fillId="5" borderId="33" xfId="2" applyNumberFormat="1" applyFont="1" applyFill="1" applyBorder="1" applyAlignment="1">
      <alignment horizontal="center" vertical="center" wrapText="1"/>
    </xf>
    <xf numFmtId="9" fontId="4" fillId="20" borderId="1" xfId="2" applyNumberFormat="1" applyFont="1" applyFill="1" applyBorder="1" applyAlignment="1">
      <alignment horizontal="center" vertical="center" wrapText="1"/>
    </xf>
    <xf numFmtId="9" fontId="4" fillId="20" borderId="32" xfId="2" applyNumberFormat="1" applyFont="1" applyFill="1" applyBorder="1" applyAlignment="1">
      <alignment horizontal="center" vertical="center" wrapText="1"/>
    </xf>
    <xf numFmtId="9" fontId="4" fillId="20" borderId="1" xfId="4" applyFont="1" applyFill="1" applyBorder="1" applyAlignment="1">
      <alignment horizontal="center" vertical="center" wrapText="1"/>
    </xf>
    <xf numFmtId="9" fontId="4" fillId="20" borderId="32" xfId="4" applyFont="1" applyFill="1" applyBorder="1" applyAlignment="1">
      <alignment horizontal="center" vertical="center" wrapText="1"/>
    </xf>
    <xf numFmtId="9" fontId="4" fillId="2" borderId="1" xfId="4" applyFont="1" applyFill="1" applyBorder="1" applyAlignment="1">
      <alignment horizontal="center" vertical="center" wrapText="1"/>
    </xf>
    <xf numFmtId="9" fontId="3" fillId="0" borderId="1" xfId="0" applyNumberFormat="1" applyFont="1" applyBorder="1" applyAlignment="1">
      <alignment horizontal="center" vertical="center" wrapText="1"/>
    </xf>
    <xf numFmtId="2" fontId="3" fillId="0" borderId="1" xfId="3" applyNumberFormat="1" applyFont="1" applyBorder="1" applyAlignment="1">
      <alignment vertical="center" wrapText="1"/>
    </xf>
    <xf numFmtId="2" fontId="4" fillId="0" borderId="1" xfId="3" applyNumberFormat="1" applyFont="1" applyBorder="1" applyAlignment="1">
      <alignment horizontal="left" vertical="center" wrapText="1"/>
    </xf>
    <xf numFmtId="0" fontId="3" fillId="2" borderId="1" xfId="0" applyFont="1" applyFill="1" applyBorder="1" applyAlignment="1">
      <alignment vertical="center" wrapText="1"/>
    </xf>
    <xf numFmtId="0" fontId="8" fillId="2" borderId="22" xfId="0" applyFont="1" applyFill="1" applyBorder="1" applyAlignment="1">
      <alignment horizontal="center"/>
    </xf>
    <xf numFmtId="0" fontId="8" fillId="2" borderId="23" xfId="0" applyFont="1" applyFill="1" applyBorder="1" applyAlignment="1">
      <alignment horizontal="center" wrapText="1"/>
    </xf>
    <xf numFmtId="43" fontId="8" fillId="2" borderId="23" xfId="2" applyFont="1" applyFill="1" applyBorder="1" applyAlignment="1">
      <alignment horizontal="center" vertical="center"/>
    </xf>
    <xf numFmtId="43" fontId="8" fillId="2" borderId="23" xfId="2" applyFont="1" applyFill="1" applyBorder="1" applyAlignment="1">
      <alignment horizontal="center" vertical="center" wrapText="1"/>
    </xf>
    <xf numFmtId="2" fontId="8" fillId="0" borderId="23" xfId="0" applyNumberFormat="1" applyFont="1" applyBorder="1" applyAlignment="1">
      <alignment horizontal="center" vertical="center"/>
    </xf>
    <xf numFmtId="0" fontId="8" fillId="0" borderId="23" xfId="0" applyFont="1" applyBorder="1" applyAlignment="1">
      <alignment horizontal="center" vertical="center"/>
    </xf>
    <xf numFmtId="44" fontId="8" fillId="0" borderId="23" xfId="0" applyNumberFormat="1" applyFont="1" applyBorder="1" applyAlignment="1">
      <alignment horizontal="center" vertical="center"/>
    </xf>
    <xf numFmtId="44" fontId="8" fillId="0" borderId="41" xfId="0" applyNumberFormat="1" applyFont="1" applyBorder="1" applyAlignment="1">
      <alignment horizontal="center" vertical="center"/>
    </xf>
    <xf numFmtId="0" fontId="2" fillId="0" borderId="1" xfId="0" applyFont="1" applyBorder="1" applyAlignment="1">
      <alignment wrapText="1"/>
    </xf>
    <xf numFmtId="0" fontId="2" fillId="2" borderId="24" xfId="0" applyFont="1" applyFill="1" applyBorder="1"/>
    <xf numFmtId="0" fontId="8" fillId="0" borderId="1" xfId="0" applyFont="1" applyBorder="1" applyAlignment="1">
      <alignment vertical="center" wrapText="1"/>
    </xf>
    <xf numFmtId="0" fontId="8" fillId="2" borderId="1" xfId="0" applyFont="1" applyFill="1" applyBorder="1" applyAlignment="1">
      <alignment vertical="center"/>
    </xf>
    <xf numFmtId="0" fontId="8" fillId="2" borderId="1" xfId="0" applyFont="1" applyFill="1" applyBorder="1" applyAlignment="1">
      <alignment horizontal="right" vertical="center"/>
    </xf>
    <xf numFmtId="0" fontId="8" fillId="2" borderId="1" xfId="0" applyFont="1" applyFill="1" applyBorder="1" applyAlignment="1">
      <alignment vertical="center" wrapText="1"/>
    </xf>
    <xf numFmtId="166" fontId="2" fillId="6" borderId="1" xfId="2"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2" fillId="2" borderId="32" xfId="0" applyFont="1" applyFill="1" applyBorder="1" applyAlignment="1">
      <alignment vertical="center"/>
    </xf>
    <xf numFmtId="0" fontId="2" fillId="2" borderId="28" xfId="0" applyFont="1" applyFill="1" applyBorder="1"/>
    <xf numFmtId="0" fontId="8" fillId="2" borderId="29" xfId="0" applyFont="1" applyFill="1" applyBorder="1" applyAlignment="1">
      <alignment vertical="center" wrapText="1"/>
    </xf>
    <xf numFmtId="0" fontId="8" fillId="2" borderId="29" xfId="0" applyFont="1" applyFill="1" applyBorder="1" applyAlignment="1">
      <alignment vertical="center"/>
    </xf>
    <xf numFmtId="0" fontId="8" fillId="2" borderId="29" xfId="0" applyFont="1" applyFill="1" applyBorder="1" applyAlignment="1">
      <alignment horizontal="right" vertical="center"/>
    </xf>
    <xf numFmtId="44" fontId="8" fillId="2" borderId="33" xfId="0" applyNumberFormat="1" applyFont="1" applyFill="1" applyBorder="1" applyAlignment="1">
      <alignment horizontal="center" vertical="center"/>
    </xf>
    <xf numFmtId="0" fontId="3" fillId="2" borderId="54" xfId="1" applyFont="1" applyFill="1" applyBorder="1" applyAlignment="1">
      <alignment horizontal="center" vertical="center"/>
    </xf>
    <xf numFmtId="0" fontId="3" fillId="2" borderId="55" xfId="1" applyFont="1" applyFill="1" applyBorder="1" applyAlignment="1">
      <alignment horizontal="center" vertical="center"/>
    </xf>
    <xf numFmtId="4" fontId="3" fillId="2" borderId="56" xfId="1" applyNumberFormat="1" applyFont="1" applyFill="1" applyBorder="1" applyAlignment="1">
      <alignment horizontal="center" vertical="center"/>
    </xf>
    <xf numFmtId="0" fontId="3" fillId="2" borderId="57" xfId="1" applyFont="1" applyFill="1" applyBorder="1" applyAlignment="1">
      <alignment horizontal="center" vertical="center"/>
    </xf>
    <xf numFmtId="0" fontId="4" fillId="2" borderId="58" xfId="1" applyFont="1" applyFill="1" applyBorder="1" applyAlignment="1">
      <alignment vertical="center"/>
    </xf>
    <xf numFmtId="10" fontId="4" fillId="2" borderId="59" xfId="1" applyNumberFormat="1" applyFont="1" applyFill="1" applyBorder="1" applyAlignment="1">
      <alignment horizontal="center" vertical="center"/>
    </xf>
    <xf numFmtId="10" fontId="3" fillId="3" borderId="59" xfId="1" applyNumberFormat="1" applyFont="1" applyFill="1" applyBorder="1" applyAlignment="1">
      <alignment horizontal="center" vertical="center"/>
    </xf>
    <xf numFmtId="0" fontId="3" fillId="2" borderId="58" xfId="1" applyFont="1" applyFill="1" applyBorder="1" applyAlignment="1">
      <alignment horizontal="center" vertical="center"/>
    </xf>
    <xf numFmtId="10" fontId="3" fillId="2" borderId="59" xfId="1" applyNumberFormat="1" applyFont="1" applyFill="1" applyBorder="1" applyAlignment="1">
      <alignment horizontal="center" vertical="center"/>
    </xf>
    <xf numFmtId="4" fontId="3" fillId="2" borderId="59" xfId="1" applyNumberFormat="1" applyFont="1" applyFill="1" applyBorder="1" applyAlignment="1">
      <alignment horizontal="center" vertical="center"/>
    </xf>
    <xf numFmtId="0" fontId="4" fillId="2" borderId="57" xfId="1" applyFont="1" applyFill="1" applyBorder="1" applyAlignment="1">
      <alignment horizontal="center" vertical="center"/>
    </xf>
    <xf numFmtId="0" fontId="4" fillId="2" borderId="58" xfId="1" applyFont="1" applyFill="1" applyBorder="1" applyAlignment="1">
      <alignment horizontal="center" vertical="center"/>
    </xf>
    <xf numFmtId="0" fontId="4" fillId="2" borderId="60" xfId="1" applyFont="1" applyFill="1" applyBorder="1" applyAlignment="1">
      <alignment horizontal="center" vertical="center"/>
    </xf>
    <xf numFmtId="0" fontId="3" fillId="2" borderId="61" xfId="1" applyFont="1" applyFill="1" applyBorder="1" applyAlignment="1">
      <alignment horizontal="right" vertical="center"/>
    </xf>
    <xf numFmtId="10" fontId="3" fillId="2" borderId="62" xfId="1" applyNumberFormat="1" applyFont="1" applyFill="1" applyBorder="1" applyAlignment="1">
      <alignment horizontal="center" vertical="center"/>
    </xf>
    <xf numFmtId="0" fontId="24" fillId="0" borderId="0" xfId="0" applyFont="1"/>
    <xf numFmtId="44" fontId="24" fillId="0" borderId="0" xfId="0" applyNumberFormat="1" applyFont="1"/>
    <xf numFmtId="4" fontId="8" fillId="2" borderId="66" xfId="0" applyNumberFormat="1" applyFont="1" applyFill="1" applyBorder="1"/>
    <xf numFmtId="0" fontId="8" fillId="2" borderId="67" xfId="0" applyFont="1" applyFill="1" applyBorder="1"/>
    <xf numFmtId="0" fontId="8" fillId="2" borderId="68" xfId="0" applyFont="1" applyFill="1" applyBorder="1"/>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68" xfId="0" applyFont="1" applyBorder="1" applyAlignment="1">
      <alignment horizontal="center" vertical="center"/>
    </xf>
    <xf numFmtId="0" fontId="24" fillId="0" borderId="66" xfId="0" applyFont="1" applyBorder="1" applyAlignment="1">
      <alignment horizontal="center" vertical="center"/>
    </xf>
    <xf numFmtId="0" fontId="24" fillId="0" borderId="67" xfId="0" applyFont="1" applyBorder="1" applyAlignment="1">
      <alignment horizontal="left" vertical="center"/>
    </xf>
    <xf numFmtId="0" fontId="24" fillId="0" borderId="67" xfId="0" applyFont="1" applyBorder="1" applyAlignment="1">
      <alignment horizontal="center" vertical="center"/>
    </xf>
    <xf numFmtId="164" fontId="24" fillId="0" borderId="67" xfId="3" applyFont="1" applyBorder="1" applyAlignment="1">
      <alignment horizontal="center" vertical="center"/>
    </xf>
    <xf numFmtId="44" fontId="24" fillId="0" borderId="68" xfId="0" applyNumberFormat="1" applyFont="1" applyBorder="1" applyAlignment="1">
      <alignment horizontal="center" vertical="center"/>
    </xf>
    <xf numFmtId="0" fontId="24" fillId="0" borderId="69" xfId="0" applyFont="1" applyBorder="1" applyAlignment="1">
      <alignment horizontal="center" vertical="center"/>
    </xf>
    <xf numFmtId="0" fontId="24" fillId="0" borderId="70" xfId="0" applyFont="1" applyBorder="1" applyAlignment="1">
      <alignment horizontal="left" vertical="center"/>
    </xf>
    <xf numFmtId="0" fontId="24" fillId="0" borderId="70" xfId="0" applyFont="1" applyBorder="1" applyAlignment="1">
      <alignment horizontal="center" vertical="center"/>
    </xf>
    <xf numFmtId="164" fontId="24" fillId="0" borderId="70" xfId="3" applyFont="1" applyBorder="1" applyAlignment="1">
      <alignment horizontal="center" vertical="center"/>
    </xf>
    <xf numFmtId="44" fontId="24" fillId="0" borderId="71" xfId="0" applyNumberFormat="1" applyFont="1" applyBorder="1" applyAlignment="1">
      <alignment horizontal="center" vertical="center"/>
    </xf>
    <xf numFmtId="0" fontId="24" fillId="0" borderId="19" xfId="0" applyFont="1" applyBorder="1"/>
    <xf numFmtId="0" fontId="24" fillId="0" borderId="20" xfId="0" applyFont="1" applyBorder="1"/>
    <xf numFmtId="0" fontId="24" fillId="0" borderId="21" xfId="0" applyFont="1" applyBorder="1"/>
    <xf numFmtId="0" fontId="2" fillId="2" borderId="16" xfId="0" applyFont="1" applyFill="1" applyBorder="1" applyAlignment="1">
      <alignment vertical="center" wrapText="1"/>
    </xf>
    <xf numFmtId="0" fontId="2" fillId="2" borderId="72" xfId="0" applyFont="1" applyFill="1" applyBorder="1" applyAlignment="1">
      <alignment vertical="center" wrapText="1"/>
    </xf>
    <xf numFmtId="0" fontId="2" fillId="2" borderId="17" xfId="0" applyFont="1" applyFill="1" applyBorder="1" applyAlignment="1">
      <alignment vertical="center" wrapText="1"/>
    </xf>
    <xf numFmtId="0" fontId="2" fillId="2" borderId="18" xfId="0" applyFont="1" applyFill="1" applyBorder="1" applyAlignment="1">
      <alignment vertical="center" wrapText="1"/>
    </xf>
    <xf numFmtId="0" fontId="3" fillId="5" borderId="28" xfId="0" applyFont="1" applyFill="1" applyBorder="1" applyAlignment="1">
      <alignment horizontal="right" vertical="center" wrapText="1"/>
    </xf>
    <xf numFmtId="0" fontId="3" fillId="5" borderId="29" xfId="0" applyFont="1" applyFill="1" applyBorder="1" applyAlignment="1">
      <alignment horizontal="right" vertical="center" wrapText="1"/>
    </xf>
    <xf numFmtId="0" fontId="2" fillId="2" borderId="0" xfId="0" applyFont="1" applyFill="1" applyAlignment="1">
      <alignment horizontal="center" vertical="center" wrapText="1"/>
    </xf>
    <xf numFmtId="2" fontId="4" fillId="0" borderId="22" xfId="0" applyNumberFormat="1" applyFont="1" applyBorder="1" applyAlignment="1">
      <alignment horizontal="center" vertical="center" wrapText="1"/>
    </xf>
    <xf numFmtId="2" fontId="4" fillId="0" borderId="23" xfId="0" applyNumberFormat="1" applyFont="1" applyBorder="1" applyAlignment="1">
      <alignment horizontal="center" vertical="center" wrapText="1"/>
    </xf>
    <xf numFmtId="0" fontId="8" fillId="2" borderId="0" xfId="0" applyFont="1" applyFill="1" applyAlignment="1">
      <alignment horizontal="center" vertical="center" wrapText="1"/>
    </xf>
    <xf numFmtId="4" fontId="3" fillId="2" borderId="1" xfId="2" applyNumberFormat="1" applyFont="1" applyFill="1" applyBorder="1" applyAlignment="1">
      <alignment horizontal="right" vertical="center" wrapText="1"/>
    </xf>
    <xf numFmtId="4" fontId="3" fillId="2" borderId="32" xfId="2" applyNumberFormat="1" applyFont="1" applyFill="1" applyBorder="1" applyAlignment="1">
      <alignment horizontal="right" vertical="center" wrapText="1"/>
    </xf>
    <xf numFmtId="4" fontId="3" fillId="5" borderId="29" xfId="2" applyNumberFormat="1" applyFont="1" applyFill="1" applyBorder="1" applyAlignment="1">
      <alignment horizontal="right" vertical="center" wrapText="1"/>
    </xf>
    <xf numFmtId="4" fontId="3" fillId="5" borderId="33" xfId="2" applyNumberFormat="1" applyFont="1" applyFill="1" applyBorder="1" applyAlignment="1">
      <alignment horizontal="right" vertical="center" wrapText="1"/>
    </xf>
    <xf numFmtId="4" fontId="3" fillId="4" borderId="1" xfId="2" applyNumberFormat="1" applyFont="1" applyFill="1" applyBorder="1" applyAlignment="1">
      <alignment horizontal="right" vertical="center" wrapText="1"/>
    </xf>
    <xf numFmtId="4" fontId="3" fillId="4" borderId="32" xfId="2" applyNumberFormat="1" applyFont="1" applyFill="1" applyBorder="1" applyAlignment="1">
      <alignment horizontal="right" vertical="center" wrapText="1"/>
    </xf>
    <xf numFmtId="2" fontId="3" fillId="0" borderId="24"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5" borderId="45" xfId="0" applyFont="1" applyFill="1" applyBorder="1" applyAlignment="1">
      <alignment horizontal="right" vertical="center" wrapText="1"/>
    </xf>
    <xf numFmtId="0" fontId="3" fillId="5" borderId="46" xfId="0" applyFont="1" applyFill="1" applyBorder="1" applyAlignment="1">
      <alignment horizontal="right" vertical="center" wrapText="1"/>
    </xf>
    <xf numFmtId="2" fontId="4" fillId="0" borderId="1" xfId="0" applyNumberFormat="1" applyFont="1" applyBorder="1" applyAlignment="1">
      <alignment horizontal="left" vertical="center" wrapText="1"/>
    </xf>
    <xf numFmtId="0" fontId="3" fillId="0" borderId="44" xfId="0" applyFont="1" applyBorder="1" applyAlignment="1">
      <alignment horizontal="right" vertical="center" wrapText="1"/>
    </xf>
    <xf numFmtId="0" fontId="3" fillId="0" borderId="3" xfId="0" applyFont="1" applyBorder="1" applyAlignment="1">
      <alignment horizontal="right" vertical="center" wrapText="1"/>
    </xf>
    <xf numFmtId="2" fontId="4" fillId="0" borderId="4" xfId="0" applyNumberFormat="1" applyFont="1" applyBorder="1" applyAlignment="1">
      <alignment horizontal="center" vertical="center" wrapText="1"/>
    </xf>
    <xf numFmtId="2" fontId="4" fillId="0" borderId="25" xfId="0" applyNumberFormat="1" applyFont="1" applyBorder="1" applyAlignment="1">
      <alignment horizontal="center" vertical="center" wrapText="1"/>
    </xf>
    <xf numFmtId="2" fontId="4" fillId="0" borderId="4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26"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3" fillId="0" borderId="22" xfId="0" applyNumberFormat="1" applyFont="1" applyBorder="1" applyAlignment="1">
      <alignment horizontal="center" vertical="center" wrapText="1"/>
    </xf>
    <xf numFmtId="2" fontId="3" fillId="0" borderId="23" xfId="0" applyNumberFormat="1" applyFont="1" applyBorder="1" applyAlignment="1">
      <alignment horizontal="center" vertical="center" wrapText="1"/>
    </xf>
    <xf numFmtId="2" fontId="3" fillId="0" borderId="41" xfId="0" applyNumberFormat="1" applyFont="1" applyBorder="1" applyAlignment="1">
      <alignment horizontal="center" vertical="center" wrapText="1"/>
    </xf>
    <xf numFmtId="0" fontId="2" fillId="2" borderId="0" xfId="0" applyFont="1" applyFill="1" applyAlignment="1">
      <alignment horizontal="center" vertical="center"/>
    </xf>
    <xf numFmtId="0" fontId="3" fillId="3" borderId="57" xfId="1" applyFont="1" applyFill="1" applyBorder="1" applyAlignment="1">
      <alignment horizontal="right" vertical="center"/>
    </xf>
    <xf numFmtId="0" fontId="3" fillId="3" borderId="58" xfId="1" applyFont="1" applyFill="1" applyBorder="1" applyAlignment="1">
      <alignment horizontal="right" vertical="center"/>
    </xf>
    <xf numFmtId="0" fontId="19" fillId="0" borderId="1" xfId="0" applyFont="1" applyBorder="1" applyAlignment="1">
      <alignment horizontal="left" vertical="center" wrapText="1"/>
    </xf>
    <xf numFmtId="0" fontId="22" fillId="0" borderId="1" xfId="0" applyFont="1" applyBorder="1" applyAlignment="1">
      <alignment horizontal="left" vertical="center" wrapText="1"/>
    </xf>
    <xf numFmtId="10" fontId="19" fillId="0" borderId="32" xfId="0" applyNumberFormat="1" applyFont="1" applyBorder="1" applyAlignment="1">
      <alignment horizontal="center" vertical="center" wrapText="1"/>
    </xf>
    <xf numFmtId="0" fontId="19" fillId="0" borderId="3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32" xfId="0" applyFont="1" applyBorder="1" applyAlignment="1">
      <alignment horizontal="center" vertical="center" wrapText="1"/>
    </xf>
    <xf numFmtId="0" fontId="18" fillId="0" borderId="1" xfId="0" applyFont="1" applyBorder="1" applyAlignment="1">
      <alignment horizontal="left" vertical="center" wrapText="1"/>
    </xf>
    <xf numFmtId="0" fontId="18" fillId="0" borderId="32" xfId="0" applyFont="1" applyBorder="1" applyAlignment="1">
      <alignment horizontal="left" vertical="center" wrapText="1"/>
    </xf>
    <xf numFmtId="0" fontId="19" fillId="0" borderId="32" xfId="0" applyFont="1" applyBorder="1" applyAlignment="1">
      <alignment horizontal="left" vertical="center" wrapText="1"/>
    </xf>
    <xf numFmtId="0" fontId="20" fillId="0" borderId="24" xfId="0" applyFont="1" applyBorder="1" applyAlignment="1">
      <alignment horizontal="left" vertical="center" wrapText="1"/>
    </xf>
    <xf numFmtId="0" fontId="20" fillId="0" borderId="1" xfId="0" applyFont="1" applyBorder="1" applyAlignment="1">
      <alignment horizontal="left" vertical="center" wrapText="1"/>
    </xf>
    <xf numFmtId="0" fontId="21" fillId="0" borderId="24" xfId="0" applyFont="1" applyBorder="1" applyAlignment="1">
      <alignment horizontal="left" vertical="center" wrapText="1"/>
    </xf>
    <xf numFmtId="0" fontId="21" fillId="0" borderId="1" xfId="0" applyFont="1" applyBorder="1" applyAlignment="1">
      <alignment horizontal="left" vertical="center" wrapText="1"/>
    </xf>
    <xf numFmtId="0" fontId="20" fillId="0" borderId="32" xfId="0" applyFont="1" applyBorder="1" applyAlignment="1">
      <alignment horizontal="left" vertical="center" wrapText="1"/>
    </xf>
    <xf numFmtId="0" fontId="21" fillId="0" borderId="32" xfId="0" applyFont="1" applyBorder="1" applyAlignment="1">
      <alignment horizontal="left" vertical="center" wrapText="1"/>
    </xf>
    <xf numFmtId="0" fontId="20" fillId="0" borderId="24"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63"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24" xfId="0" applyFont="1" applyBorder="1" applyAlignment="1">
      <alignment horizontal="left" vertical="center" wrapText="1"/>
    </xf>
    <xf numFmtId="0" fontId="18" fillId="0" borderId="24" xfId="0" applyFont="1" applyBorder="1" applyAlignment="1">
      <alignment horizontal="left" vertical="center" wrapText="1"/>
    </xf>
    <xf numFmtId="0" fontId="18" fillId="0" borderId="28" xfId="0" applyFont="1" applyBorder="1" applyAlignment="1">
      <alignment horizontal="justify" vertical="justify" wrapText="1"/>
    </xf>
    <xf numFmtId="0" fontId="18" fillId="0" borderId="29" xfId="0" applyFont="1" applyBorder="1" applyAlignment="1">
      <alignment horizontal="justify" vertical="justify" wrapText="1"/>
    </xf>
    <xf numFmtId="0" fontId="18" fillId="0" borderId="33" xfId="0" applyFont="1" applyBorder="1" applyAlignment="1">
      <alignment horizontal="justify" vertical="justify" wrapText="1"/>
    </xf>
    <xf numFmtId="0" fontId="25" fillId="0" borderId="24" xfId="0" applyFont="1" applyBorder="1" applyAlignment="1">
      <alignment horizontal="left" vertical="center"/>
    </xf>
    <xf numFmtId="0" fontId="25" fillId="0" borderId="1" xfId="0" applyFont="1" applyBorder="1" applyAlignment="1">
      <alignment horizontal="left" vertical="center"/>
    </xf>
    <xf numFmtId="0" fontId="25" fillId="0" borderId="32" xfId="0" applyFont="1" applyBorder="1" applyAlignment="1">
      <alignment horizontal="left" vertical="center"/>
    </xf>
    <xf numFmtId="0" fontId="8" fillId="2" borderId="0" xfId="0" applyFont="1" applyFill="1" applyAlignment="1">
      <alignment horizontal="center" vertical="center"/>
    </xf>
    <xf numFmtId="0" fontId="3" fillId="2" borderId="1" xfId="0" applyFont="1" applyFill="1" applyBorder="1" applyAlignment="1">
      <alignment horizontal="left" vertical="center" wrapText="1"/>
    </xf>
    <xf numFmtId="0" fontId="3" fillId="2" borderId="32" xfId="0" applyFont="1" applyFill="1" applyBorder="1" applyAlignment="1">
      <alignment horizontal="left" vertical="center" wrapText="1"/>
    </xf>
    <xf numFmtId="169" fontId="4" fillId="2" borderId="1"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2" fontId="3" fillId="0" borderId="22" xfId="0" applyNumberFormat="1" applyFont="1" applyBorder="1" applyAlignment="1">
      <alignment horizontal="left" vertical="center" wrapText="1"/>
    </xf>
    <xf numFmtId="2" fontId="3" fillId="0" borderId="23" xfId="0" applyNumberFormat="1" applyFont="1" applyBorder="1" applyAlignment="1">
      <alignment horizontal="left" vertical="center" wrapText="1"/>
    </xf>
    <xf numFmtId="2" fontId="3" fillId="0" borderId="41" xfId="0" applyNumberFormat="1" applyFont="1" applyBorder="1" applyAlignment="1">
      <alignment horizontal="left" vertical="center" wrapText="1"/>
    </xf>
    <xf numFmtId="0" fontId="2" fillId="2" borderId="24"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horizontal="left" wrapText="1"/>
    </xf>
    <xf numFmtId="0" fontId="8" fillId="2" borderId="17"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31" xfId="0" applyFont="1" applyFill="1" applyBorder="1" applyAlignment="1">
      <alignment horizontal="center"/>
    </xf>
    <xf numFmtId="0" fontId="8" fillId="2" borderId="10" xfId="0" applyFont="1" applyFill="1" applyBorder="1" applyAlignment="1">
      <alignment horizontal="center"/>
    </xf>
    <xf numFmtId="0" fontId="8" fillId="2" borderId="26" xfId="0" applyFont="1" applyFill="1" applyBorder="1" applyAlignment="1">
      <alignment horizontal="center"/>
    </xf>
    <xf numFmtId="0" fontId="8" fillId="2" borderId="4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35" xfId="0" applyFont="1" applyFill="1" applyBorder="1" applyAlignment="1">
      <alignment horizontal="center" vertical="center" wrapText="1"/>
    </xf>
    <xf numFmtId="3" fontId="11" fillId="2" borderId="44" xfId="0" applyNumberFormat="1" applyFont="1" applyFill="1" applyBorder="1" applyAlignment="1">
      <alignment horizontal="right" vertical="center"/>
    </xf>
    <xf numFmtId="3" fontId="11" fillId="2" borderId="11" xfId="0" applyNumberFormat="1" applyFont="1" applyFill="1" applyBorder="1" applyAlignment="1">
      <alignment horizontal="right" vertical="center"/>
    </xf>
    <xf numFmtId="3" fontId="35" fillId="2" borderId="45" xfId="0" applyNumberFormat="1" applyFont="1" applyFill="1" applyBorder="1" applyAlignment="1">
      <alignment horizontal="right" vertical="center"/>
    </xf>
    <xf numFmtId="3" fontId="35" fillId="2" borderId="42" xfId="0" applyNumberFormat="1" applyFont="1" applyFill="1" applyBorder="1" applyAlignment="1">
      <alignment horizontal="right" vertical="center"/>
    </xf>
    <xf numFmtId="3" fontId="11" fillId="11" borderId="2" xfId="0" applyNumberFormat="1" applyFont="1" applyFill="1" applyBorder="1" applyAlignment="1">
      <alignment horizontal="justify" vertical="justify" wrapText="1"/>
    </xf>
    <xf numFmtId="3" fontId="11" fillId="11" borderId="11" xfId="0" applyNumberFormat="1" applyFont="1" applyFill="1" applyBorder="1" applyAlignment="1">
      <alignment horizontal="justify" vertical="justify" wrapText="1"/>
    </xf>
    <xf numFmtId="3" fontId="11" fillId="11" borderId="27" xfId="0" applyNumberFormat="1" applyFont="1" applyFill="1" applyBorder="1" applyAlignment="1">
      <alignment horizontal="justify" vertical="justify" wrapText="1"/>
    </xf>
    <xf numFmtId="0" fontId="8" fillId="2" borderId="0" xfId="0" applyFont="1" applyFill="1" applyAlignment="1">
      <alignment horizontal="center"/>
    </xf>
    <xf numFmtId="4" fontId="8" fillId="2" borderId="0" xfId="0" applyNumberFormat="1" applyFont="1" applyFill="1" applyAlignment="1">
      <alignment horizontal="center"/>
    </xf>
    <xf numFmtId="0" fontId="8" fillId="2" borderId="64"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8" fillId="2" borderId="65"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66" xfId="0" applyFont="1" applyFill="1" applyBorder="1" applyAlignment="1">
      <alignment horizontal="center"/>
    </xf>
    <xf numFmtId="0" fontId="8" fillId="2" borderId="67" xfId="0" applyFont="1" applyFill="1" applyBorder="1" applyAlignment="1">
      <alignment horizontal="center"/>
    </xf>
    <xf numFmtId="0" fontId="8" fillId="2" borderId="68" xfId="0" applyFont="1" applyFill="1" applyBorder="1" applyAlignment="1">
      <alignment horizontal="center"/>
    </xf>
    <xf numFmtId="0" fontId="37" fillId="13" borderId="13" xfId="0" applyFont="1" applyFill="1" applyBorder="1" applyAlignment="1">
      <alignment horizontal="right"/>
    </xf>
    <xf numFmtId="0" fontId="37" fillId="13" borderId="14" xfId="0" applyFont="1" applyFill="1" applyBorder="1" applyAlignment="1">
      <alignment horizontal="right"/>
    </xf>
    <xf numFmtId="0" fontId="37" fillId="13" borderId="15" xfId="0" applyFont="1" applyFill="1" applyBorder="1" applyAlignment="1">
      <alignment horizontal="right"/>
    </xf>
    <xf numFmtId="0" fontId="37" fillId="0" borderId="37" xfId="0" applyFont="1" applyBorder="1" applyAlignment="1">
      <alignment horizontal="center" vertical="center"/>
    </xf>
    <xf numFmtId="0" fontId="37" fillId="0" borderId="28" xfId="0" applyFont="1" applyBorder="1" applyAlignment="1">
      <alignment horizontal="center" vertical="center"/>
    </xf>
    <xf numFmtId="0" fontId="37" fillId="0" borderId="6" xfId="0" applyFont="1" applyBorder="1" applyAlignment="1">
      <alignment horizontal="center" vertical="center"/>
    </xf>
    <xf numFmtId="0" fontId="37" fillId="0" borderId="29" xfId="0" applyFont="1" applyBorder="1" applyAlignment="1">
      <alignment horizontal="center" vertical="center"/>
    </xf>
    <xf numFmtId="0" fontId="37" fillId="0" borderId="6" xfId="0" applyFont="1" applyBorder="1" applyAlignment="1">
      <alignment horizontal="center"/>
    </xf>
    <xf numFmtId="0" fontId="37" fillId="0" borderId="38" xfId="0" applyFont="1" applyBorder="1" applyAlignment="1">
      <alignment horizontal="center"/>
    </xf>
    <xf numFmtId="0" fontId="37" fillId="0" borderId="13" xfId="0" applyFont="1" applyBorder="1" applyAlignment="1">
      <alignment horizontal="center"/>
    </xf>
    <xf numFmtId="0" fontId="37" fillId="0" borderId="14" xfId="0" applyFont="1" applyBorder="1" applyAlignment="1">
      <alignment horizontal="center"/>
    </xf>
    <xf numFmtId="0" fontId="37" fillId="0" borderId="15" xfId="0" applyFont="1" applyBorder="1" applyAlignment="1">
      <alignment horizontal="center"/>
    </xf>
    <xf numFmtId="0" fontId="29" fillId="7" borderId="0" xfId="0" applyFont="1" applyFill="1" applyAlignment="1">
      <alignment horizontal="left" vertical="top" wrapText="1"/>
    </xf>
    <xf numFmtId="0" fontId="30" fillId="7" borderId="0" xfId="0" applyFont="1" applyFill="1" applyAlignment="1">
      <alignment horizontal="left" vertical="top" wrapText="1"/>
    </xf>
    <xf numFmtId="10" fontId="30" fillId="7" borderId="0" xfId="0" applyNumberFormat="1" applyFont="1" applyFill="1" applyAlignment="1">
      <alignment horizontal="left" vertical="top" wrapText="1"/>
    </xf>
    <xf numFmtId="0" fontId="29" fillId="7" borderId="0" xfId="0" applyFont="1" applyFill="1" applyAlignment="1">
      <alignment horizontal="center" wrapText="1"/>
    </xf>
    <xf numFmtId="0" fontId="0" fillId="0" borderId="0" xfId="0"/>
    <xf numFmtId="0" fontId="30" fillId="7" borderId="0" xfId="0" applyFont="1" applyFill="1" applyAlignment="1">
      <alignment horizontal="right" vertical="top" wrapText="1"/>
    </xf>
    <xf numFmtId="4" fontId="30" fillId="7" borderId="0" xfId="0" applyNumberFormat="1" applyFont="1" applyFill="1" applyAlignment="1">
      <alignment horizontal="right" vertical="top" wrapText="1"/>
    </xf>
    <xf numFmtId="0" fontId="33" fillId="7" borderId="0" xfId="0" applyFont="1" applyFill="1" applyAlignment="1">
      <alignment horizontal="center" vertical="top" wrapText="1"/>
    </xf>
    <xf numFmtId="0" fontId="41" fillId="7" borderId="0" xfId="0" applyFont="1" applyFill="1" applyAlignment="1">
      <alignment horizontal="justify" vertical="top" wrapText="1"/>
    </xf>
    <xf numFmtId="0" fontId="0" fillId="0" borderId="0" xfId="0" applyAlignment="1">
      <alignment horizontal="center"/>
    </xf>
    <xf numFmtId="49" fontId="4" fillId="0" borderId="1" xfId="3" applyNumberFormat="1" applyFont="1" applyBorder="1" applyAlignment="1">
      <alignment horizontal="left" vertical="center" wrapText="1"/>
    </xf>
  </cellXfs>
  <cellStyles count="8">
    <cellStyle name="Moeda" xfId="3" builtinId="4"/>
    <cellStyle name="Normal" xfId="0" builtinId="0"/>
    <cellStyle name="Normal 19" xfId="1" xr:uid="{00000000-0005-0000-0000-000002000000}"/>
    <cellStyle name="Normal 2" xfId="6" xr:uid="{00000000-0005-0000-0000-000003000000}"/>
    <cellStyle name="Normal 3" xfId="7" xr:uid="{00000000-0005-0000-0000-000032000000}"/>
    <cellStyle name="Porcentagem" xfId="4" builtinId="5"/>
    <cellStyle name="Vírgula" xfId="2" builtinId="3"/>
    <cellStyle name="Vírgula 2" xfId="5"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3343275</xdr:colOff>
      <xdr:row>0</xdr:row>
      <xdr:rowOff>0</xdr:rowOff>
    </xdr:from>
    <xdr:to>
      <xdr:col>2</xdr:col>
      <xdr:colOff>4292600</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53F2F40B-CDF0-48A7-B935-C472118EF26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952500" cy="9715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oneCellAnchor>
    <xdr:from>
      <xdr:col>1</xdr:col>
      <xdr:colOff>952500</xdr:colOff>
      <xdr:row>79</xdr:row>
      <xdr:rowOff>109537</xdr:rowOff>
    </xdr:from>
    <xdr:ext cx="2341282" cy="594522"/>
    <mc:AlternateContent xmlns:mc="http://schemas.openxmlformats.org/markup-compatibility/2006" xmlns:a14="http://schemas.microsoft.com/office/drawing/2010/main">
      <mc:Choice Requires="a14">
        <xdr:sp macro="" textlink="">
          <xdr:nvSpPr>
            <xdr:cNvPr id="2" name="CaixaDeTexto 1">
              <a:extLst>
                <a:ext uri="{FF2B5EF4-FFF2-40B4-BE49-F238E27FC236}">
                  <a16:creationId xmlns:a16="http://schemas.microsoft.com/office/drawing/2014/main" id="{27F247D3-9F20-4FD0-A105-86DB1A9AB8D4}"/>
                </a:ext>
              </a:extLst>
            </xdr:cNvPr>
            <xdr:cNvSpPr txBox="1"/>
          </xdr:nvSpPr>
          <xdr:spPr>
            <a:xfrm>
              <a:off x="1971675" y="1306036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pt-BR" sz="1200" b="0" i="0">
                        <a:latin typeface="Cambria Math" panose="02040503050406030204" pitchFamily="18" charset="0"/>
                      </a:rPr>
                      <m:t>VR</m:t>
                    </m:r>
                    <m:r>
                      <a:rPr lang="pt-BR" sz="1200" b="0" i="0">
                        <a:latin typeface="Cambria Math" panose="02040503050406030204" pitchFamily="18" charset="0"/>
                      </a:rPr>
                      <m:t>=</m:t>
                    </m:r>
                    <m:d>
                      <m:dPr>
                        <m:ctrlPr>
                          <a:rPr lang="pt-BR" sz="1200" b="0" i="1">
                            <a:latin typeface="Cambria Math" panose="02040503050406030204" pitchFamily="18" charset="0"/>
                          </a:rPr>
                        </m:ctrlPr>
                      </m:dPr>
                      <m:e>
                        <m:r>
                          <m:rPr>
                            <m:sty m:val="p"/>
                          </m:rPr>
                          <a:rPr lang="pt-BR" sz="1200" b="0" i="0">
                            <a:latin typeface="Cambria Math" panose="02040503050406030204" pitchFamily="18" charset="0"/>
                          </a:rPr>
                          <m:t>IR</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r>
                          <m:rPr>
                            <m:sty m:val="p"/>
                          </m:rPr>
                          <a:rPr lang="pt-BR" sz="1200" b="0" i="0">
                            <a:latin typeface="Cambria Math" panose="02040503050406030204" pitchFamily="18" charset="0"/>
                          </a:rPr>
                          <m:t>HT</m:t>
                        </m:r>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d>
                      <m:dPr>
                        <m:ctrlPr>
                          <a:rPr lang="pt-BR" sz="1200" b="0" i="1">
                            <a:latin typeface="Cambria Math" panose="02040503050406030204" pitchFamily="18" charset="0"/>
                          </a:rPr>
                        </m:ctrlPr>
                      </m:dPr>
                      <m:e>
                        <m:sSup>
                          <m:sSupPr>
                            <m:ctrlPr>
                              <a:rPr lang="pt-BR" sz="1200" b="0" i="1">
                                <a:latin typeface="Cambria Math" panose="02040503050406030204" pitchFamily="18" charset="0"/>
                              </a:rPr>
                            </m:ctrlPr>
                          </m:sSupPr>
                          <m:e>
                            <m:d>
                              <m:dPr>
                                <m:ctrlPr>
                                  <a:rPr lang="pt-BR" sz="1200" b="0" i="1">
                                    <a:solidFill>
                                      <a:schemeClr val="tx1"/>
                                    </a:solidFill>
                                    <a:effectLst/>
                                    <a:latin typeface="Cambria Math" panose="02040503050406030204" pitchFamily="18" charset="0"/>
                                    <a:ea typeface="+mn-ea"/>
                                    <a:cs typeface="+mn-cs"/>
                                  </a:rPr>
                                </m:ctrlPr>
                              </m:dPr>
                              <m:e>
                                <m:f>
                                  <m:fPr>
                                    <m:ctrlPr>
                                      <a:rPr lang="pt-BR" sz="1200" b="0" i="1">
                                        <a:solidFill>
                                          <a:schemeClr val="tx1"/>
                                        </a:solidFill>
                                        <a:effectLst/>
                                        <a:latin typeface="Cambria Math" panose="02040503050406030204" pitchFamily="18" charset="0"/>
                                        <a:ea typeface="+mn-ea"/>
                                        <a:cs typeface="+mn-cs"/>
                                      </a:rPr>
                                    </m:ctrlPr>
                                  </m:fPr>
                                  <m:num>
                                    <m:r>
                                      <a:rPr lang="pt-BR" sz="1200" b="0" i="0">
                                        <a:solidFill>
                                          <a:schemeClr val="tx1"/>
                                        </a:solidFill>
                                        <a:effectLst/>
                                        <a:latin typeface="Cambria Math" panose="02040503050406030204" pitchFamily="18" charset="0"/>
                                        <a:ea typeface="+mn-ea"/>
                                        <a:cs typeface="+mn-cs"/>
                                      </a:rPr>
                                      <m:t>8</m:t>
                                    </m:r>
                                  </m:num>
                                  <m:den>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e</m:t>
                                        </m:r>
                                      </m:sub>
                                    </m:sSub>
                                  </m:den>
                                </m:f>
                              </m:e>
                            </m:d>
                          </m:e>
                          <m:sup>
                            <m:r>
                              <a:rPr lang="pt-BR" sz="1200" b="0" i="0">
                                <a:latin typeface="Cambria Math" panose="02040503050406030204" pitchFamily="18" charset="0"/>
                              </a:rPr>
                              <m:t>0,4</m:t>
                            </m:r>
                          </m:sup>
                        </m:sSup>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2" name="CaixaDeTexto 1">
              <a:extLst>
                <a:ext uri="{FF2B5EF4-FFF2-40B4-BE49-F238E27FC236}">
                  <a16:creationId xmlns:a16="http://schemas.microsoft.com/office/drawing/2014/main" id="{27F247D3-9F20-4FD0-A105-86DB1A9AB8D4}"/>
                </a:ext>
              </a:extLst>
            </xdr:cNvPr>
            <xdr:cNvSpPr txBox="1"/>
          </xdr:nvSpPr>
          <xdr:spPr>
            <a:xfrm>
              <a:off x="1971675" y="1306036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200" b="0" i="0">
                  <a:latin typeface="Cambria Math" panose="02040503050406030204" pitchFamily="18" charset="0"/>
                </a:rPr>
                <a:t>VR=(IR x HT)  x (</a:t>
              </a:r>
              <a:r>
                <a:rPr lang="pt-BR" sz="1200" b="0" i="0">
                  <a:solidFill>
                    <a:schemeClr val="tx1"/>
                  </a:solidFill>
                  <a:effectLst/>
                  <a:latin typeface="Cambria Math" panose="02040503050406030204" pitchFamily="18" charset="0"/>
                  <a:ea typeface="+mn-ea"/>
                  <a:cs typeface="+mn-cs"/>
                </a:rPr>
                <a:t>(8/A_e )^</a:t>
              </a:r>
              <a:r>
                <a:rPr lang="pt-BR" sz="1200" b="0" i="0">
                  <a:latin typeface="Cambria Math" panose="02040503050406030204" pitchFamily="18" charset="0"/>
                </a:rPr>
                <a:t>0,4 )  x A_e</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1</xdr:col>
      <xdr:colOff>409575</xdr:colOff>
      <xdr:row>89</xdr:row>
      <xdr:rowOff>80962</xdr:rowOff>
    </xdr:from>
    <xdr:ext cx="3513078" cy="490071"/>
    <mc:AlternateContent xmlns:mc="http://schemas.openxmlformats.org/markup-compatibility/2006" xmlns:a14="http://schemas.microsoft.com/office/drawing/2010/main">
      <mc:Choice Requires="a14">
        <xdr:sp macro="" textlink="">
          <xdr:nvSpPr>
            <xdr:cNvPr id="3" name="CaixaDeTexto 2">
              <a:extLst>
                <a:ext uri="{FF2B5EF4-FFF2-40B4-BE49-F238E27FC236}">
                  <a16:creationId xmlns:a16="http://schemas.microsoft.com/office/drawing/2014/main" id="{06BDBAF3-D2EC-45F6-B713-5BE20A60E6A6}"/>
                </a:ext>
              </a:extLst>
            </xdr:cNvPr>
            <xdr:cNvSpPr txBox="1"/>
          </xdr:nvSpPr>
          <xdr:spPr>
            <a:xfrm>
              <a:off x="1425575" y="1601946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pt-BR" sz="120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r>
                      <a:rPr lang="pt-BR" sz="1200" i="0">
                        <a:latin typeface="Cambria Math" panose="02040503050406030204" pitchFamily="18" charset="0"/>
                      </a:rPr>
                      <m:t>=</m:t>
                    </m:r>
                    <m:d>
                      <m:dPr>
                        <m:ctrlPr>
                          <a:rPr lang="pt-BR" sz="1200" i="1">
                            <a:latin typeface="Cambria Math" panose="02040503050406030204" pitchFamily="18" charset="0"/>
                          </a:rPr>
                        </m:ctrlPr>
                      </m:dPr>
                      <m:e>
                        <m:r>
                          <m:rPr>
                            <m:sty m:val="p"/>
                          </m:rPr>
                          <a:rPr lang="pt-BR" sz="1200" b="0" i="0">
                            <a:latin typeface="Cambria Math" panose="02040503050406030204" pitchFamily="18" charset="0"/>
                          </a:rPr>
                          <m:t>a</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nary>
                          <m:naryPr>
                            <m:chr m:val="∑"/>
                            <m:subHide m:val="on"/>
                            <m:supHide m:val="on"/>
                            <m:ctrlPr>
                              <a:rPr lang="pt-BR" sz="1200" b="0" i="1">
                                <a:latin typeface="Cambria Math" panose="02040503050406030204" pitchFamily="18" charset="0"/>
                              </a:rPr>
                            </m:ctrlPr>
                          </m:naryPr>
                          <m:sub/>
                          <m:sup/>
                          <m:e>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pd</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b</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pt</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c</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ge</m:t>
                                </m:r>
                              </m:sub>
                            </m:sSub>
                          </m:e>
                        </m:nary>
                      </m:e>
                    </m:d>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3" name="CaixaDeTexto 2">
              <a:extLst>
                <a:ext uri="{FF2B5EF4-FFF2-40B4-BE49-F238E27FC236}">
                  <a16:creationId xmlns:a16="http://schemas.microsoft.com/office/drawing/2014/main" id="{06BDBAF3-D2EC-45F6-B713-5BE20A60E6A6}"/>
                </a:ext>
              </a:extLst>
            </xdr:cNvPr>
            <xdr:cNvSpPr txBox="1"/>
          </xdr:nvSpPr>
          <xdr:spPr>
            <a:xfrm>
              <a:off x="1425575" y="1601946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200" b="0" i="0">
                  <a:latin typeface="Cambria Math" panose="02040503050406030204" pitchFamily="18" charset="0"/>
                </a:rPr>
                <a:t>A_e</a:t>
              </a:r>
              <a:r>
                <a:rPr lang="pt-BR" sz="1200" i="0">
                  <a:latin typeface="Cambria Math" panose="02040503050406030204" pitchFamily="18" charset="0"/>
                </a:rPr>
                <a:t>=(</a:t>
              </a:r>
              <a:r>
                <a:rPr lang="pt-BR" sz="1200" b="0" i="0">
                  <a:latin typeface="Cambria Math" panose="02040503050406030204" pitchFamily="18" charset="0"/>
                </a:rPr>
                <a:t>a x ∑▒A_pd )</a:t>
              </a:r>
              <a:r>
                <a:rPr lang="pt-BR" sz="1200" i="0">
                  <a:latin typeface="Cambria Math" panose="02040503050406030204" pitchFamily="18" charset="0"/>
                </a:rPr>
                <a:t>+</a:t>
              </a:r>
              <a:r>
                <a:rPr lang="pt-BR" sz="1200" i="0">
                  <a:solidFill>
                    <a:schemeClr val="tx1"/>
                  </a:solidFill>
                  <a:effectLst/>
                  <a:latin typeface="Cambria Math" panose="02040503050406030204" pitchFamily="18" charset="0"/>
                  <a:ea typeface="+mn-ea"/>
                  <a:cs typeface="+mn-cs"/>
                </a:rPr>
                <a:t>(</a:t>
              </a:r>
              <a:r>
                <a:rPr lang="pt-BR" sz="1200" b="0" i="0">
                  <a:solidFill>
                    <a:schemeClr val="tx1"/>
                  </a:solidFill>
                  <a:effectLst/>
                  <a:latin typeface="Cambria Math" panose="02040503050406030204" pitchFamily="18" charset="0"/>
                  <a:ea typeface="+mn-ea"/>
                  <a:cs typeface="+mn-cs"/>
                </a:rPr>
                <a:t>b x ∑▒A_pt )</a:t>
              </a:r>
              <a:r>
                <a:rPr lang="pt-BR" sz="1200" i="0">
                  <a:latin typeface="Cambria Math" panose="02040503050406030204" pitchFamily="18" charset="0"/>
                </a:rPr>
                <a:t>+</a:t>
              </a:r>
              <a:r>
                <a:rPr lang="pt-BR" sz="1200" i="0">
                  <a:solidFill>
                    <a:schemeClr val="tx1"/>
                  </a:solidFill>
                  <a:effectLst/>
                  <a:latin typeface="Cambria Math" panose="02040503050406030204" pitchFamily="18" charset="0"/>
                  <a:ea typeface="+mn-ea"/>
                  <a:cs typeface="+mn-cs"/>
                </a:rPr>
                <a:t>(</a:t>
              </a:r>
              <a:r>
                <a:rPr lang="pt-BR" sz="1200" b="0" i="0">
                  <a:solidFill>
                    <a:schemeClr val="tx1"/>
                  </a:solidFill>
                  <a:effectLst/>
                  <a:latin typeface="Cambria Math" panose="02040503050406030204" pitchFamily="18" charset="0"/>
                  <a:ea typeface="+mn-ea"/>
                  <a:cs typeface="+mn-cs"/>
                </a:rPr>
                <a:t>c x ∑▒A_ge )</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twoCellAnchor editAs="oneCell">
    <xdr:from>
      <xdr:col>3</xdr:col>
      <xdr:colOff>774700</xdr:colOff>
      <xdr:row>0</xdr:row>
      <xdr:rowOff>0</xdr:rowOff>
    </xdr:from>
    <xdr:to>
      <xdr:col>4</xdr:col>
      <xdr:colOff>593725</xdr:colOff>
      <xdr:row>4</xdr:row>
      <xdr:rowOff>200025</xdr:rowOff>
    </xdr:to>
    <xdr:pic>
      <xdr:nvPicPr>
        <xdr:cNvPr id="4" name="Imagem 3" descr="C:\Users\andre.afsm\AppData\Local\Microsoft\Windows\INetCache\Content.MSO\CF07A486.tmp">
          <a:extLst>
            <a:ext uri="{FF2B5EF4-FFF2-40B4-BE49-F238E27FC236}">
              <a16:creationId xmlns:a16="http://schemas.microsoft.com/office/drawing/2014/main" id="{6AE02540-0C1C-4AB6-830D-CC47FF8DB1E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35700" y="0"/>
          <a:ext cx="977900" cy="102552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41275</xdr:colOff>
      <xdr:row>2</xdr:row>
      <xdr:rowOff>9525</xdr:rowOff>
    </xdr:from>
    <xdr:to>
      <xdr:col>4</xdr:col>
      <xdr:colOff>269875</xdr:colOff>
      <xdr:row>7</xdr:row>
      <xdr:rowOff>66675</xdr:rowOff>
    </xdr:to>
    <xdr:pic>
      <xdr:nvPicPr>
        <xdr:cNvPr id="2" name="Imagem 1" descr="C:\Users\andre.afsm\AppData\Local\Microsoft\Windows\INetCache\Content.MSO\CF07A486.tmp">
          <a:extLst>
            <a:ext uri="{FF2B5EF4-FFF2-40B4-BE49-F238E27FC236}">
              <a16:creationId xmlns:a16="http://schemas.microsoft.com/office/drawing/2014/main" id="{3DB88E9D-1646-4A14-A7F8-1BAFDAB909D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0650" y="771525"/>
          <a:ext cx="971550" cy="104775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2006600</xdr:colOff>
      <xdr:row>0</xdr:row>
      <xdr:rowOff>0</xdr:rowOff>
    </xdr:from>
    <xdr:to>
      <xdr:col>1</xdr:col>
      <xdr:colOff>63500</xdr:colOff>
      <xdr:row>1</xdr:row>
      <xdr:rowOff>6350</xdr:rowOff>
    </xdr:to>
    <xdr:pic>
      <xdr:nvPicPr>
        <xdr:cNvPr id="3" name="Imagem 2" descr="C:\Users\andre.afsm\AppData\Local\Microsoft\Windows\INetCache\Content.MSO\CF07A486.tmp">
          <a:extLst>
            <a:ext uri="{FF2B5EF4-FFF2-40B4-BE49-F238E27FC236}">
              <a16:creationId xmlns:a16="http://schemas.microsoft.com/office/drawing/2014/main" id="{31CCFF2D-5241-430B-A334-6EFBA36A6DC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6600" y="0"/>
          <a:ext cx="955675" cy="10096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3343275</xdr:colOff>
      <xdr:row>0</xdr:row>
      <xdr:rowOff>0</xdr:rowOff>
    </xdr:from>
    <xdr:to>
      <xdr:col>2</xdr:col>
      <xdr:colOff>4292600</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2D9BA27B-32FB-41A8-89BC-FB9501D786D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8200" y="0"/>
          <a:ext cx="949325" cy="9715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3343275</xdr:colOff>
      <xdr:row>0</xdr:row>
      <xdr:rowOff>0</xdr:rowOff>
    </xdr:from>
    <xdr:to>
      <xdr:col>2</xdr:col>
      <xdr:colOff>4292600</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94F452C5-D84E-4DD8-B59E-8A307863844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8200" y="0"/>
          <a:ext cx="949325" cy="9715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3887560</xdr:colOff>
      <xdr:row>0</xdr:row>
      <xdr:rowOff>0</xdr:rowOff>
    </xdr:from>
    <xdr:to>
      <xdr:col>2</xdr:col>
      <xdr:colOff>4840060</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88453" y="0"/>
          <a:ext cx="952500" cy="98787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2162175</xdr:colOff>
      <xdr:row>0</xdr:row>
      <xdr:rowOff>0</xdr:rowOff>
    </xdr:from>
    <xdr:to>
      <xdr:col>1</xdr:col>
      <xdr:colOff>3114675</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1775" y="190500"/>
          <a:ext cx="952500" cy="971550"/>
        </a:xfrm>
        <a:prstGeom prst="rect">
          <a:avLst/>
        </a:prstGeom>
        <a:noFill/>
        <a:ln>
          <a:noFill/>
        </a:ln>
      </xdr:spPr>
    </xdr:pic>
    <xdr:clientData/>
  </xdr:twoCellAnchor>
  <xdr:oneCellAnchor>
    <xdr:from>
      <xdr:col>1</xdr:col>
      <xdr:colOff>942975</xdr:colOff>
      <xdr:row>30</xdr:row>
      <xdr:rowOff>14287</xdr:rowOff>
    </xdr:from>
    <xdr:ext cx="3301417" cy="384464"/>
    <mc:AlternateContent xmlns:mc="http://schemas.openxmlformats.org/markup-compatibility/2006" xmlns:a14="http://schemas.microsoft.com/office/drawing/2010/main">
      <mc:Choice Requires="a14">
        <xdr:sp macro="" textlink="">
          <xdr:nvSpPr>
            <xdr:cNvPr id="3" name="CaixaDeTexto 2">
              <a:extLst>
                <a:ext uri="{FF2B5EF4-FFF2-40B4-BE49-F238E27FC236}">
                  <a16:creationId xmlns:a16="http://schemas.microsoft.com/office/drawing/2014/main" id="{00000000-0008-0000-0400-000003000000}"/>
                </a:ext>
              </a:extLst>
            </xdr:cNvPr>
            <xdr:cNvSpPr txBox="1"/>
          </xdr:nvSpPr>
          <xdr:spPr>
            <a:xfrm>
              <a:off x="1552575" y="6034087"/>
              <a:ext cx="3301417" cy="384464"/>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pt-BR" sz="1200" b="0" i="0">
                        <a:latin typeface="Cambria Math" panose="02040503050406030204" pitchFamily="18" charset="0"/>
                      </a:rPr>
                      <m:t>BDI</m:t>
                    </m:r>
                    <m:r>
                      <a:rPr lang="pt-BR" sz="1200" b="0" i="0">
                        <a:latin typeface="Cambria Math" panose="02040503050406030204" pitchFamily="18" charset="0"/>
                      </a:rPr>
                      <m:t>=</m:t>
                    </m:r>
                    <m:f>
                      <m:fPr>
                        <m:ctrlPr>
                          <a:rPr lang="pt-BR" sz="1200" b="0" i="1">
                            <a:latin typeface="Cambria Math" panose="02040503050406030204" pitchFamily="18" charset="0"/>
                          </a:rPr>
                        </m:ctrlPr>
                      </m:fPr>
                      <m:num>
                        <m:d>
                          <m:dPr>
                            <m:ctrlPr>
                              <a:rPr lang="pt-BR" sz="1200" b="0" i="1">
                                <a:latin typeface="Cambria Math" panose="02040503050406030204" pitchFamily="18" charset="0"/>
                              </a:rPr>
                            </m:ctrlPr>
                          </m:dPr>
                          <m:e>
                            <m:r>
                              <a:rPr lang="pt-BR" sz="1200" b="0" i="0">
                                <a:latin typeface="Cambria Math" panose="02040503050406030204" pitchFamily="18" charset="0"/>
                              </a:rPr>
                              <m:t>1+</m:t>
                            </m:r>
                            <m:r>
                              <m:rPr>
                                <m:sty m:val="p"/>
                              </m:rPr>
                              <a:rPr lang="pt-BR" sz="1200" b="0" i="0">
                                <a:latin typeface="Cambria Math" panose="02040503050406030204" pitchFamily="18" charset="0"/>
                              </a:rPr>
                              <m:t>AC</m:t>
                            </m:r>
                            <m:r>
                              <a:rPr lang="pt-BR" sz="1200" b="0" i="0">
                                <a:latin typeface="Cambria Math" panose="02040503050406030204" pitchFamily="18" charset="0"/>
                              </a:rPr>
                              <m:t>+</m:t>
                            </m:r>
                            <m:r>
                              <m:rPr>
                                <m:sty m:val="p"/>
                              </m:rPr>
                              <a:rPr lang="pt-BR" sz="1200" b="0" i="0">
                                <a:latin typeface="Cambria Math" panose="02040503050406030204" pitchFamily="18" charset="0"/>
                              </a:rPr>
                              <m:t>S</m:t>
                            </m:r>
                            <m:r>
                              <a:rPr lang="pt-BR" sz="1200" b="0" i="0">
                                <a:latin typeface="Cambria Math" panose="02040503050406030204" pitchFamily="18" charset="0"/>
                              </a:rPr>
                              <m:t>+</m:t>
                            </m:r>
                            <m:r>
                              <m:rPr>
                                <m:sty m:val="p"/>
                              </m:rPr>
                              <a:rPr lang="pt-BR" sz="1200" b="0" i="0">
                                <a:latin typeface="Cambria Math" panose="02040503050406030204" pitchFamily="18" charset="0"/>
                              </a:rPr>
                              <m:t>G</m:t>
                            </m:r>
                            <m:r>
                              <a:rPr lang="pt-BR" sz="1200" b="0" i="0">
                                <a:latin typeface="Cambria Math" panose="02040503050406030204" pitchFamily="18" charset="0"/>
                              </a:rPr>
                              <m:t>+</m:t>
                            </m:r>
                            <m:r>
                              <m:rPr>
                                <m:sty m:val="p"/>
                              </m:rPr>
                              <a:rPr lang="pt-BR" sz="1200" b="0" i="0">
                                <a:latin typeface="Cambria Math" panose="02040503050406030204" pitchFamily="18" charset="0"/>
                              </a:rPr>
                              <m:t>R</m:t>
                            </m:r>
                          </m:e>
                        </m:d>
                        <m:d>
                          <m:dPr>
                            <m:ctrlPr>
                              <a:rPr lang="pt-BR" sz="1200" b="0" i="1">
                                <a:latin typeface="Cambria Math" panose="02040503050406030204" pitchFamily="18" charset="0"/>
                              </a:rPr>
                            </m:ctrlPr>
                          </m:dPr>
                          <m:e>
                            <m:r>
                              <a:rPr lang="pt-BR" sz="1200" b="0" i="0">
                                <a:latin typeface="Cambria Math" panose="02040503050406030204" pitchFamily="18" charset="0"/>
                              </a:rPr>
                              <m:t>1+</m:t>
                            </m:r>
                            <m:r>
                              <m:rPr>
                                <m:sty m:val="p"/>
                              </m:rPr>
                              <a:rPr lang="pt-BR" sz="1200" b="0" i="0">
                                <a:latin typeface="Cambria Math" panose="02040503050406030204" pitchFamily="18" charset="0"/>
                              </a:rPr>
                              <m:t>DF</m:t>
                            </m:r>
                          </m:e>
                        </m:d>
                        <m:d>
                          <m:dPr>
                            <m:ctrlPr>
                              <a:rPr lang="pt-BR" sz="1200" b="0" i="1">
                                <a:latin typeface="Cambria Math" panose="02040503050406030204" pitchFamily="18" charset="0"/>
                              </a:rPr>
                            </m:ctrlPr>
                          </m:dPr>
                          <m:e>
                            <m:r>
                              <a:rPr lang="pt-BR" sz="1200" b="0" i="0">
                                <a:latin typeface="Cambria Math" panose="02040503050406030204" pitchFamily="18" charset="0"/>
                              </a:rPr>
                              <m:t>1+</m:t>
                            </m:r>
                            <m:r>
                              <m:rPr>
                                <m:sty m:val="p"/>
                              </m:rPr>
                              <a:rPr lang="pt-BR" sz="1200" b="0" i="0">
                                <a:latin typeface="Cambria Math" panose="02040503050406030204" pitchFamily="18" charset="0"/>
                              </a:rPr>
                              <m:t>L</m:t>
                            </m:r>
                          </m:e>
                        </m:d>
                      </m:num>
                      <m:den>
                        <m:d>
                          <m:dPr>
                            <m:ctrlPr>
                              <a:rPr lang="pt-BR" sz="1200" b="0" i="1">
                                <a:latin typeface="Cambria Math" panose="02040503050406030204" pitchFamily="18" charset="0"/>
                              </a:rPr>
                            </m:ctrlPr>
                          </m:dPr>
                          <m:e>
                            <m:r>
                              <a:rPr lang="pt-BR" sz="1200" b="0" i="0">
                                <a:latin typeface="Cambria Math" panose="02040503050406030204" pitchFamily="18" charset="0"/>
                              </a:rPr>
                              <m:t>1−</m:t>
                            </m:r>
                            <m:r>
                              <m:rPr>
                                <m:sty m:val="p"/>
                              </m:rPr>
                              <a:rPr lang="pt-BR" sz="1200" b="0" i="0">
                                <a:latin typeface="Cambria Math" panose="02040503050406030204" pitchFamily="18" charset="0"/>
                              </a:rPr>
                              <m:t>I</m:t>
                            </m:r>
                          </m:e>
                        </m:d>
                      </m:den>
                    </m:f>
                    <m:r>
                      <a:rPr lang="pt-BR" sz="1200" b="0" i="0">
                        <a:latin typeface="Cambria Math" panose="02040503050406030204" pitchFamily="18" charset="0"/>
                      </a:rPr>
                      <m:t>−1</m:t>
                    </m:r>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3" name="CaixaDeTexto 2">
              <a:extLst>
                <a:ext uri="{FF2B5EF4-FFF2-40B4-BE49-F238E27FC236}">
                  <a16:creationId xmlns:a16="http://schemas.microsoft.com/office/drawing/2014/main" id="{8E24DF67-E76F-42EB-BAC7-74D5CECD5069}"/>
                </a:ext>
              </a:extLst>
            </xdr:cNvPr>
            <xdr:cNvSpPr txBox="1"/>
          </xdr:nvSpPr>
          <xdr:spPr>
            <a:xfrm>
              <a:off x="1552575" y="6034087"/>
              <a:ext cx="3301417" cy="384464"/>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200" b="0" i="0">
                  <a:latin typeface="Cambria Math" panose="02040503050406030204" pitchFamily="18" charset="0"/>
                </a:rPr>
                <a:t>BDI=(1+AC+S+G+R)(1+DF)(1+L)/((1−I) )−1</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twoCellAnchor editAs="oneCell">
    <xdr:from>
      <xdr:col>5</xdr:col>
      <xdr:colOff>367205</xdr:colOff>
      <xdr:row>0</xdr:row>
      <xdr:rowOff>0</xdr:rowOff>
    </xdr:from>
    <xdr:to>
      <xdr:col>6</xdr:col>
      <xdr:colOff>4379</xdr:colOff>
      <xdr:row>5</xdr:row>
      <xdr:rowOff>19050</xdr:rowOff>
    </xdr:to>
    <xdr:pic>
      <xdr:nvPicPr>
        <xdr:cNvPr id="3" name="Imagem 2" descr="C:\Users\andre.afsm\AppData\Local\Microsoft\Windows\INetCache\Content.MSO\CF07A486.tmp">
          <a:extLst>
            <a:ext uri="{FF2B5EF4-FFF2-40B4-BE49-F238E27FC236}">
              <a16:creationId xmlns:a16="http://schemas.microsoft.com/office/drawing/2014/main" id="{F85E3CAB-C7BE-411E-9636-62AD0E1C3C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90395" y="0"/>
          <a:ext cx="954799" cy="100439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32437</xdr:colOff>
      <xdr:row>5</xdr:row>
      <xdr:rowOff>1059</xdr:rowOff>
    </xdr:to>
    <xdr:pic>
      <xdr:nvPicPr>
        <xdr:cNvPr id="2" name="Imagem 1" descr="C:\Users\andre.afsm\AppData\Local\Microsoft\Windows\INetCache\Content.MSO\CF07A486.tmp">
          <a:extLst>
            <a:ext uri="{FF2B5EF4-FFF2-40B4-BE49-F238E27FC236}">
              <a16:creationId xmlns:a16="http://schemas.microsoft.com/office/drawing/2014/main" id="{8DF3FAF6-ADA4-4199-8271-537EB6F13F9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63682" y="0"/>
          <a:ext cx="1018554" cy="100958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3686175</xdr:colOff>
      <xdr:row>0</xdr:row>
      <xdr:rowOff>28575</xdr:rowOff>
    </xdr:from>
    <xdr:to>
      <xdr:col>2</xdr:col>
      <xdr:colOff>4721225</xdr:colOff>
      <xdr:row>4</xdr:row>
      <xdr:rowOff>190500</xdr:rowOff>
    </xdr:to>
    <xdr:pic>
      <xdr:nvPicPr>
        <xdr:cNvPr id="5" name="Imagem 4" descr="C:\Users\andre.afsm\AppData\Local\Microsoft\Windows\INetCache\Content.MSO\CF07A486.tmp">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28575"/>
          <a:ext cx="952500" cy="971550"/>
        </a:xfrm>
        <a:prstGeom prst="rect">
          <a:avLst/>
        </a:prstGeom>
        <a:noFill/>
        <a:ln>
          <a:noFill/>
        </a:ln>
      </xdr:spPr>
    </xdr:pic>
    <xdr:clientData/>
  </xdr:twoCellAnchor>
  <xdr:twoCellAnchor editAs="oneCell">
    <xdr:from>
      <xdr:col>11</xdr:col>
      <xdr:colOff>847725</xdr:colOff>
      <xdr:row>13</xdr:row>
      <xdr:rowOff>95250</xdr:rowOff>
    </xdr:from>
    <xdr:to>
      <xdr:col>13</xdr:col>
      <xdr:colOff>41010</xdr:colOff>
      <xdr:row>16</xdr:row>
      <xdr:rowOff>104673</xdr:rowOff>
    </xdr:to>
    <xdr:pic>
      <xdr:nvPicPr>
        <xdr:cNvPr id="6" name="Imagem 5">
          <a:extLst>
            <a:ext uri="{FF2B5EF4-FFF2-40B4-BE49-F238E27FC236}">
              <a16:creationId xmlns:a16="http://schemas.microsoft.com/office/drawing/2014/main" id="{66DFAF80-2EC8-4FE6-9769-1E388115288D}"/>
            </a:ext>
          </a:extLst>
        </xdr:cNvPr>
        <xdr:cNvPicPr>
          <a:picLocks noChangeAspect="1"/>
        </xdr:cNvPicPr>
      </xdr:nvPicPr>
      <xdr:blipFill>
        <a:blip xmlns:r="http://schemas.openxmlformats.org/officeDocument/2006/relationships" r:embed="rId2"/>
        <a:stretch>
          <a:fillRect/>
        </a:stretch>
      </xdr:blipFill>
      <xdr:spPr>
        <a:xfrm>
          <a:off x="13592175" y="2724150"/>
          <a:ext cx="2222235" cy="822223"/>
        </a:xfrm>
        <a:prstGeom prst="rect">
          <a:avLst/>
        </a:prstGeom>
      </xdr:spPr>
    </xdr:pic>
    <xdr:clientData/>
  </xdr:twoCellAnchor>
  <xdr:twoCellAnchor editAs="oneCell">
    <xdr:from>
      <xdr:col>2</xdr:col>
      <xdr:colOff>1304925</xdr:colOff>
      <xdr:row>55</xdr:row>
      <xdr:rowOff>161925</xdr:rowOff>
    </xdr:from>
    <xdr:to>
      <xdr:col>2</xdr:col>
      <xdr:colOff>3428735</xdr:colOff>
      <xdr:row>59</xdr:row>
      <xdr:rowOff>184048</xdr:rowOff>
    </xdr:to>
    <xdr:pic>
      <xdr:nvPicPr>
        <xdr:cNvPr id="7" name="Imagem 6">
          <a:extLst>
            <a:ext uri="{FF2B5EF4-FFF2-40B4-BE49-F238E27FC236}">
              <a16:creationId xmlns:a16="http://schemas.microsoft.com/office/drawing/2014/main" id="{F0C9737E-DF27-461C-803E-A31289536972}"/>
            </a:ext>
          </a:extLst>
        </xdr:cNvPr>
        <xdr:cNvPicPr>
          <a:picLocks noChangeAspect="1"/>
        </xdr:cNvPicPr>
      </xdr:nvPicPr>
      <xdr:blipFill>
        <a:blip xmlns:r="http://schemas.openxmlformats.org/officeDocument/2006/relationships" r:embed="rId2"/>
        <a:stretch>
          <a:fillRect/>
        </a:stretch>
      </xdr:blipFill>
      <xdr:spPr>
        <a:xfrm>
          <a:off x="2940050" y="8016875"/>
          <a:ext cx="2126985" cy="82539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3686175</xdr:colOff>
      <xdr:row>0</xdr:row>
      <xdr:rowOff>28575</xdr:rowOff>
    </xdr:from>
    <xdr:to>
      <xdr:col>4</xdr:col>
      <xdr:colOff>533400</xdr:colOff>
      <xdr:row>4</xdr:row>
      <xdr:rowOff>190500</xdr:rowOff>
    </xdr:to>
    <xdr:pic>
      <xdr:nvPicPr>
        <xdr:cNvPr id="2" name="Imagem 1" descr="C:\Users\andre.afsm\AppData\Local\Microsoft\Windows\INetCache\Content.MSO\CF07A486.tmp">
          <a:extLst>
            <a:ext uri="{FF2B5EF4-FFF2-40B4-BE49-F238E27FC236}">
              <a16:creationId xmlns:a16="http://schemas.microsoft.com/office/drawing/2014/main" id="{2FFA863F-0F15-4646-BE2B-5A4C248A558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1300" y="25400"/>
          <a:ext cx="1146175" cy="9652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cedo.fm\OneDrive%20-%20Pol&#237;cia%20Federal\09.%20GTED\SR-DF\02.%20Doc.%20Referencia\03.%20Anexo%20III%20-%20Planilhas%20Or&#231;amentaria%20projeto%20executivo%20-SRDF_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de Serv"/>
      <sheetName val="Quadro de Áreas"/>
      <sheetName val="Memorial de Cálculos"/>
      <sheetName val="Planilha Orçamentária"/>
      <sheetName val="Cronograma físico-financ."/>
      <sheetName val="sondagem"/>
    </sheetNames>
    <sheetDataSet>
      <sheetData sheetId="0" refreshError="1"/>
      <sheetData sheetId="1" refreshError="1">
        <row r="28">
          <cell r="D28">
            <v>2971.7599999999993</v>
          </cell>
        </row>
        <row r="38">
          <cell r="D38">
            <v>2389.71</v>
          </cell>
        </row>
        <row r="46">
          <cell r="D46">
            <v>3270.9700000000003</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6:G28"/>
  <sheetViews>
    <sheetView view="pageBreakPreview" zoomScale="115" zoomScaleNormal="100" zoomScaleSheetLayoutView="115" workbookViewId="0">
      <selection sqref="A1:XFD1048576"/>
    </sheetView>
  </sheetViews>
  <sheetFormatPr defaultColWidth="9.140625" defaultRowHeight="15.75" x14ac:dyDescent="0.25"/>
  <cols>
    <col min="1" max="1" width="9.140625" style="10"/>
    <col min="2" max="2" width="10.42578125" style="10" bestFit="1" customWidth="1"/>
    <col min="3" max="3" width="75.5703125" style="10" customWidth="1"/>
    <col min="4" max="4" width="17.85546875" style="10" customWidth="1"/>
    <col min="5" max="5" width="18.85546875" style="10" customWidth="1"/>
    <col min="6" max="6" width="22.85546875" style="10" customWidth="1"/>
    <col min="7" max="7" width="12.5703125" style="10" bestFit="1" customWidth="1"/>
    <col min="8" max="16384" width="9.140625" style="10"/>
  </cols>
  <sheetData>
    <row r="6" spans="2:6" ht="15.75" customHeight="1" x14ac:dyDescent="0.25">
      <c r="B6" s="394" t="s">
        <v>7</v>
      </c>
      <c r="C6" s="394"/>
      <c r="D6" s="394"/>
      <c r="E6" s="394"/>
      <c r="F6" s="394"/>
    </row>
    <row r="7" spans="2:6" ht="15.75" customHeight="1" x14ac:dyDescent="0.25">
      <c r="B7" s="394" t="s">
        <v>8</v>
      </c>
      <c r="C7" s="394"/>
      <c r="D7" s="394"/>
      <c r="E7" s="394"/>
      <c r="F7" s="394"/>
    </row>
    <row r="8" spans="2:6" ht="15.75" customHeight="1" x14ac:dyDescent="0.25">
      <c r="B8" s="394" t="str">
        <f>'Planilha Sintética'!B8:H8</f>
        <v>GRUPO TÉCNICO EM EDIFICAÇÕES - GTED/SR/PF/PI</v>
      </c>
      <c r="C8" s="394"/>
      <c r="D8" s="394"/>
      <c r="E8" s="394"/>
      <c r="F8" s="394"/>
    </row>
    <row r="9" spans="2:6" x14ac:dyDescent="0.25">
      <c r="B9" s="394"/>
      <c r="C9" s="394"/>
      <c r="D9" s="394"/>
      <c r="E9" s="394"/>
      <c r="F9" s="394"/>
    </row>
    <row r="10" spans="2:6" ht="15.75" customHeight="1" x14ac:dyDescent="0.25">
      <c r="B10" s="397" t="s">
        <v>527</v>
      </c>
      <c r="C10" s="397"/>
      <c r="D10" s="397"/>
      <c r="E10" s="397"/>
      <c r="F10" s="397"/>
    </row>
    <row r="11" spans="2:6" ht="15.75" customHeight="1" x14ac:dyDescent="0.25">
      <c r="B11" s="397" t="s">
        <v>131</v>
      </c>
      <c r="C11" s="397"/>
      <c r="D11" s="397"/>
      <c r="E11" s="397"/>
      <c r="F11" s="397"/>
    </row>
    <row r="12" spans="2:6" ht="15.75" customHeight="1" x14ac:dyDescent="0.25">
      <c r="B12" s="397" t="s">
        <v>189</v>
      </c>
      <c r="C12" s="397"/>
      <c r="D12" s="397"/>
      <c r="E12" s="397"/>
      <c r="F12" s="397"/>
    </row>
    <row r="13" spans="2:6" ht="16.5" thickBot="1" x14ac:dyDescent="0.3">
      <c r="B13" s="394"/>
      <c r="C13" s="394"/>
      <c r="D13" s="394"/>
      <c r="E13" s="394"/>
      <c r="F13" s="394"/>
    </row>
    <row r="14" spans="2:6" ht="32.25" customHeight="1" x14ac:dyDescent="0.25">
      <c r="B14" s="395" t="s">
        <v>499</v>
      </c>
      <c r="C14" s="396"/>
      <c r="D14" s="396"/>
      <c r="E14" s="396"/>
      <c r="F14" s="217" t="s">
        <v>507</v>
      </c>
    </row>
    <row r="15" spans="2:6" ht="15.75" customHeight="1" x14ac:dyDescent="0.25">
      <c r="B15" s="404" t="s">
        <v>529</v>
      </c>
      <c r="C15" s="405"/>
      <c r="D15" s="327" t="s">
        <v>192</v>
      </c>
      <c r="E15" s="328" t="s">
        <v>500</v>
      </c>
      <c r="F15" s="216" t="s">
        <v>501</v>
      </c>
    </row>
    <row r="16" spans="2:6" s="16" customFormat="1" x14ac:dyDescent="0.25">
      <c r="B16" s="134" t="s">
        <v>0</v>
      </c>
      <c r="C16" s="15" t="s">
        <v>22</v>
      </c>
      <c r="D16" s="107" t="s">
        <v>520</v>
      </c>
      <c r="E16" s="107" t="s">
        <v>505</v>
      </c>
      <c r="F16" s="139" t="s">
        <v>506</v>
      </c>
    </row>
    <row r="17" spans="2:7" s="16" customFormat="1" ht="31.5" x14ac:dyDescent="0.25">
      <c r="B17" s="134" t="s">
        <v>227</v>
      </c>
      <c r="C17" s="329" t="s">
        <v>498</v>
      </c>
      <c r="D17" s="107"/>
      <c r="E17" s="62"/>
      <c r="F17" s="139"/>
    </row>
    <row r="18" spans="2:7" x14ac:dyDescent="0.25">
      <c r="B18" s="212" t="s">
        <v>30</v>
      </c>
      <c r="C18" s="213" t="s">
        <v>400</v>
      </c>
      <c r="D18" s="107"/>
      <c r="E18" s="63"/>
      <c r="F18" s="140"/>
    </row>
    <row r="19" spans="2:7" ht="47.25" x14ac:dyDescent="0.25">
      <c r="B19" s="133"/>
      <c r="C19" s="46" t="s">
        <v>502</v>
      </c>
      <c r="D19" s="325">
        <v>0.3</v>
      </c>
      <c r="E19" s="316">
        <f>D19*E24</f>
        <v>10890.137999999999</v>
      </c>
      <c r="F19" s="314">
        <f>E19*(1+$D$25)</f>
        <v>13204.291226303487</v>
      </c>
      <c r="G19" s="50"/>
    </row>
    <row r="20" spans="2:7" x14ac:dyDescent="0.25">
      <c r="B20" s="212" t="s">
        <v>23</v>
      </c>
      <c r="C20" s="213" t="s">
        <v>402</v>
      </c>
      <c r="D20" s="326"/>
      <c r="E20" s="62"/>
      <c r="F20" s="140"/>
    </row>
    <row r="21" spans="2:7" ht="47.25" x14ac:dyDescent="0.25">
      <c r="B21" s="133"/>
      <c r="C21" s="9" t="s">
        <v>503</v>
      </c>
      <c r="D21" s="325">
        <v>0.3</v>
      </c>
      <c r="E21" s="316">
        <f>D21*E24</f>
        <v>10890.137999999999</v>
      </c>
      <c r="F21" s="314">
        <f>E21*(1+$D$25)</f>
        <v>13204.291226303487</v>
      </c>
    </row>
    <row r="22" spans="2:7" x14ac:dyDescent="0.25">
      <c r="B22" s="212" t="s">
        <v>31</v>
      </c>
      <c r="C22" s="213" t="s">
        <v>401</v>
      </c>
      <c r="D22" s="326"/>
      <c r="E22" s="62"/>
      <c r="F22" s="140"/>
    </row>
    <row r="23" spans="2:7" ht="80.25" customHeight="1" x14ac:dyDescent="0.25">
      <c r="B23" s="133"/>
      <c r="C23" s="9" t="s">
        <v>504</v>
      </c>
      <c r="D23" s="325">
        <v>0.4</v>
      </c>
      <c r="E23" s="316">
        <f>D23*E24</f>
        <v>14520.184000000001</v>
      </c>
      <c r="F23" s="314">
        <f>E23*(1+$D$25)</f>
        <v>17605.721635071317</v>
      </c>
    </row>
    <row r="24" spans="2:7" x14ac:dyDescent="0.25">
      <c r="B24" s="133"/>
      <c r="C24" s="17" t="s">
        <v>505</v>
      </c>
      <c r="D24" s="18"/>
      <c r="E24" s="398">
        <f>'Mem. Calc._area'!K78</f>
        <v>36300.46</v>
      </c>
      <c r="F24" s="399"/>
      <c r="G24" s="50"/>
    </row>
    <row r="25" spans="2:7" x14ac:dyDescent="0.25">
      <c r="B25" s="133"/>
      <c r="C25" s="17" t="s">
        <v>37</v>
      </c>
      <c r="D25" s="149">
        <f>BDI!C20</f>
        <v>0.2124998991108733</v>
      </c>
      <c r="E25" s="402">
        <f>E24*D25</f>
        <v>7713.8440876782915</v>
      </c>
      <c r="F25" s="403"/>
    </row>
    <row r="26" spans="2:7" ht="15.95" customHeight="1" thickBot="1" x14ac:dyDescent="0.3">
      <c r="B26" s="392" t="s">
        <v>506</v>
      </c>
      <c r="C26" s="393"/>
      <c r="D26" s="145"/>
      <c r="E26" s="400">
        <f>E24+E25</f>
        <v>44014.304087678291</v>
      </c>
      <c r="F26" s="401"/>
    </row>
    <row r="28" spans="2:7" x14ac:dyDescent="0.25">
      <c r="F28" s="50"/>
    </row>
  </sheetData>
  <mergeCells count="14">
    <mergeCell ref="B26:C26"/>
    <mergeCell ref="B6:F6"/>
    <mergeCell ref="B7:F7"/>
    <mergeCell ref="B8:F8"/>
    <mergeCell ref="B9:F9"/>
    <mergeCell ref="B14:E14"/>
    <mergeCell ref="B11:F11"/>
    <mergeCell ref="B12:F12"/>
    <mergeCell ref="B13:F13"/>
    <mergeCell ref="B10:F10"/>
    <mergeCell ref="E24:F24"/>
    <mergeCell ref="E26:F26"/>
    <mergeCell ref="E25:F25"/>
    <mergeCell ref="B15:C15"/>
  </mergeCells>
  <printOptions horizontalCentered="1"/>
  <pageMargins left="0.39370078740157483" right="0.39370078740157483" top="0.39370078740157483" bottom="0.39370078740157483" header="0.31496062992125984" footer="0.31496062992125984"/>
  <pageSetup paperSize="9" scale="61" orientation="portrait" r:id="rId1"/>
  <ignoredErrors>
    <ignoredError sqref="B23"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614-7C49-4F20-8CBB-3758ACB5E417}">
  <dimension ref="A1:Q103"/>
  <sheetViews>
    <sheetView view="pageBreakPreview" zoomScale="60" zoomScaleNormal="100" workbookViewId="0">
      <selection activeCell="K69" sqref="K69"/>
    </sheetView>
  </sheetViews>
  <sheetFormatPr defaultColWidth="9.140625" defaultRowHeight="15.75" x14ac:dyDescent="0.25"/>
  <cols>
    <col min="1" max="1" width="19.140625" style="20" customWidth="1"/>
    <col min="2" max="2" width="52.42578125" style="256" customWidth="1"/>
    <col min="3" max="3" width="10.42578125" style="40" bestFit="1" customWidth="1"/>
    <col min="4" max="4" width="17.28515625" style="40" bestFit="1" customWidth="1"/>
    <col min="5" max="5" width="17.5703125" style="40" bestFit="1" customWidth="1"/>
    <col min="6" max="6" width="13.140625" style="40" bestFit="1" customWidth="1"/>
    <col min="7" max="7" width="10.7109375" style="40" bestFit="1" customWidth="1"/>
    <col min="8" max="9" width="11.85546875" style="40" bestFit="1" customWidth="1"/>
    <col min="10" max="10" width="15" style="41" customWidth="1"/>
    <col min="11" max="11" width="23.5703125" style="42" customWidth="1"/>
    <col min="12" max="12" width="16.28515625" style="42" customWidth="1"/>
    <col min="13" max="13" width="15.140625" style="20" bestFit="1" customWidth="1"/>
    <col min="14" max="14" width="12.5703125" style="43" bestFit="1" customWidth="1"/>
    <col min="15" max="15" width="11.28515625" style="44" bestFit="1" customWidth="1"/>
    <col min="16" max="16" width="3.28515625" style="20" bestFit="1" customWidth="1"/>
    <col min="17" max="17" width="45.28515625" style="20" bestFit="1" customWidth="1"/>
    <col min="18" max="16384" width="9.140625" style="20"/>
  </cols>
  <sheetData>
    <row r="1" spans="1:15" s="10" customFormat="1" x14ac:dyDescent="0.25"/>
    <row r="2" spans="1:15" s="10" customFormat="1" x14ac:dyDescent="0.25"/>
    <row r="3" spans="1:15" s="10" customFormat="1" x14ac:dyDescent="0.25"/>
    <row r="4" spans="1:15" s="10" customFormat="1" x14ac:dyDescent="0.25"/>
    <row r="5" spans="1:15" s="10" customFormat="1" x14ac:dyDescent="0.25"/>
    <row r="6" spans="1:15" s="10" customFormat="1" ht="15.75" customHeight="1" x14ac:dyDescent="0.25">
      <c r="A6" s="394" t="s">
        <v>7</v>
      </c>
      <c r="B6" s="394"/>
      <c r="C6" s="394"/>
      <c r="D6" s="394"/>
      <c r="E6" s="394"/>
      <c r="F6" s="394"/>
      <c r="G6" s="394"/>
      <c r="H6" s="394"/>
      <c r="I6" s="394"/>
      <c r="J6" s="394"/>
      <c r="K6" s="394"/>
      <c r="L6" s="16"/>
    </row>
    <row r="7" spans="1:15" s="10" customFormat="1" ht="15.75" customHeight="1" x14ac:dyDescent="0.25">
      <c r="A7" s="394" t="s">
        <v>8</v>
      </c>
      <c r="B7" s="394"/>
      <c r="C7" s="394"/>
      <c r="D7" s="394"/>
      <c r="E7" s="394"/>
      <c r="F7" s="394"/>
      <c r="G7" s="394"/>
      <c r="H7" s="394"/>
      <c r="I7" s="394"/>
      <c r="J7" s="394"/>
      <c r="K7" s="394"/>
      <c r="L7" s="16"/>
    </row>
    <row r="8" spans="1:15" s="10" customFormat="1" ht="15.75" customHeight="1" x14ac:dyDescent="0.25">
      <c r="A8" s="394" t="str">
        <f>'Planilha Orçamentária'!B8</f>
        <v>GRUPO TÉCNICO EM EDIFICAÇÕES - GTED/SR/PF/PI</v>
      </c>
      <c r="B8" s="394"/>
      <c r="C8" s="394"/>
      <c r="D8" s="394"/>
      <c r="E8" s="394"/>
      <c r="F8" s="394"/>
      <c r="G8" s="394"/>
      <c r="H8" s="394"/>
      <c r="I8" s="394"/>
      <c r="J8" s="394"/>
      <c r="K8" s="394"/>
      <c r="L8" s="16"/>
    </row>
    <row r="9" spans="1:15" s="10" customFormat="1" x14ac:dyDescent="0.25">
      <c r="A9" s="394"/>
      <c r="B9" s="394"/>
      <c r="C9" s="394"/>
      <c r="D9" s="394"/>
      <c r="E9" s="394"/>
      <c r="F9" s="394"/>
      <c r="G9" s="394"/>
      <c r="H9" s="394"/>
    </row>
    <row r="10" spans="1:15" s="10" customFormat="1" x14ac:dyDescent="0.25">
      <c r="A10" s="397" t="s">
        <v>528</v>
      </c>
      <c r="B10" s="397"/>
      <c r="C10" s="397"/>
      <c r="D10" s="397"/>
      <c r="E10" s="397"/>
      <c r="F10" s="397"/>
      <c r="G10" s="397"/>
      <c r="H10" s="397"/>
      <c r="I10" s="397"/>
      <c r="J10" s="397"/>
      <c r="K10" s="397"/>
      <c r="L10" s="197"/>
    </row>
    <row r="11" spans="1:15" x14ac:dyDescent="0.25">
      <c r="A11" s="485" t="s">
        <v>452</v>
      </c>
      <c r="B11" s="485"/>
      <c r="C11" s="485"/>
      <c r="D11" s="485"/>
      <c r="E11" s="485"/>
      <c r="F11" s="485"/>
      <c r="G11" s="485"/>
      <c r="H11" s="485"/>
      <c r="I11" s="485"/>
      <c r="J11" s="485"/>
      <c r="K11" s="485"/>
      <c r="L11" s="241"/>
    </row>
    <row r="12" spans="1:15" ht="16.5" thickBot="1" x14ac:dyDescent="0.3">
      <c r="A12" s="486"/>
      <c r="B12" s="485"/>
      <c r="C12" s="485"/>
      <c r="D12" s="485"/>
      <c r="E12" s="485"/>
      <c r="F12" s="485"/>
      <c r="G12" s="485"/>
      <c r="H12" s="485"/>
      <c r="I12" s="485"/>
      <c r="J12" s="485"/>
      <c r="K12" s="485"/>
      <c r="L12" s="241"/>
    </row>
    <row r="13" spans="1:15" ht="17.25" x14ac:dyDescent="0.25">
      <c r="A13" s="330" t="s">
        <v>43</v>
      </c>
      <c r="B13" s="331" t="s">
        <v>44</v>
      </c>
      <c r="C13" s="332" t="s">
        <v>41</v>
      </c>
      <c r="D13" s="333" t="s">
        <v>453</v>
      </c>
      <c r="E13" s="333" t="s">
        <v>454</v>
      </c>
      <c r="F13" s="334" t="s">
        <v>61</v>
      </c>
      <c r="G13" s="334" t="s">
        <v>62</v>
      </c>
      <c r="H13" s="334" t="s">
        <v>63</v>
      </c>
      <c r="I13" s="335" t="s">
        <v>64</v>
      </c>
      <c r="J13" s="336" t="s">
        <v>102</v>
      </c>
      <c r="K13" s="337" t="s">
        <v>45</v>
      </c>
      <c r="L13" s="242"/>
      <c r="O13" s="47"/>
    </row>
    <row r="14" spans="1:15" hidden="1" x14ac:dyDescent="0.25">
      <c r="A14" s="476" t="s">
        <v>39</v>
      </c>
      <c r="B14" s="338" t="s">
        <v>53</v>
      </c>
      <c r="C14" s="52">
        <v>0.1</v>
      </c>
      <c r="D14" s="243">
        <v>1</v>
      </c>
      <c r="E14" s="52">
        <f>ROUND(C14*D14,6)</f>
        <v>0.1</v>
      </c>
      <c r="F14" s="26">
        <f>'Quadro de Áreas'!$D$13</f>
        <v>150</v>
      </c>
      <c r="G14" s="26">
        <f>'Quadro de Áreas'!$D$20</f>
        <v>0</v>
      </c>
      <c r="H14" s="26">
        <f>'Quadro de Áreas'!$D$27</f>
        <v>0</v>
      </c>
      <c r="I14" s="26">
        <f t="shared" ref="I14:I19" si="0">(1*F14)+(0.5*G14)+(0.25*H14)</f>
        <v>150</v>
      </c>
      <c r="J14" s="27"/>
      <c r="K14" s="117">
        <f>(E14*J14)*((8/I14)^0.4)*I14</f>
        <v>0</v>
      </c>
      <c r="L14" s="244"/>
    </row>
    <row r="15" spans="1:15" hidden="1" x14ac:dyDescent="0.25">
      <c r="A15" s="476"/>
      <c r="B15" s="338" t="s">
        <v>24</v>
      </c>
      <c r="C15" s="245">
        <v>0.24</v>
      </c>
      <c r="D15" s="243">
        <v>1</v>
      </c>
      <c r="E15" s="52">
        <f>ROUND(C15*D15,6)</f>
        <v>0.24</v>
      </c>
      <c r="F15" s="26">
        <f>'Quadro de Áreas'!$D$13</f>
        <v>150</v>
      </c>
      <c r="G15" s="26">
        <f>'Quadro de Áreas'!$D$20</f>
        <v>0</v>
      </c>
      <c r="H15" s="26">
        <f>'Quadro de Áreas'!$D$27</f>
        <v>0</v>
      </c>
      <c r="I15" s="26">
        <f t="shared" si="0"/>
        <v>150</v>
      </c>
      <c r="J15" s="27"/>
      <c r="K15" s="117">
        <f t="shared" ref="K15:K68" si="1">(E15*J15)*((8/I15)^0.4)*I15</f>
        <v>0</v>
      </c>
      <c r="L15" s="244"/>
      <c r="O15" s="47"/>
    </row>
    <row r="16" spans="1:15" x14ac:dyDescent="0.25">
      <c r="A16" s="476"/>
      <c r="B16" s="338" t="s">
        <v>455</v>
      </c>
      <c r="C16" s="52">
        <v>0.8</v>
      </c>
      <c r="D16" s="243">
        <v>1</v>
      </c>
      <c r="E16" s="52">
        <f>ROUND(C16*D16,6)</f>
        <v>0.8</v>
      </c>
      <c r="F16" s="26">
        <f>'Quadro de Áreas'!$D$13</f>
        <v>150</v>
      </c>
      <c r="G16" s="26">
        <f>'Quadro de Áreas'!$D$20</f>
        <v>0</v>
      </c>
      <c r="H16" s="26">
        <f>'Quadro de Áreas'!$D$27</f>
        <v>0</v>
      </c>
      <c r="I16" s="26">
        <f t="shared" si="0"/>
        <v>150</v>
      </c>
      <c r="J16" s="27">
        <f>$I$83</f>
        <v>116.66</v>
      </c>
      <c r="K16" s="117">
        <f t="shared" si="1"/>
        <v>4334.1377412363472</v>
      </c>
      <c r="L16" s="244"/>
      <c r="O16" s="47"/>
    </row>
    <row r="17" spans="1:17" hidden="1" x14ac:dyDescent="0.25">
      <c r="A17" s="476"/>
      <c r="B17" s="338" t="s">
        <v>456</v>
      </c>
      <c r="C17" s="245">
        <v>0.52</v>
      </c>
      <c r="D17" s="243">
        <v>1</v>
      </c>
      <c r="E17" s="52">
        <f t="shared" ref="E17:E19" si="2">ROUND(C17*D17,6)</f>
        <v>0.52</v>
      </c>
      <c r="F17" s="26">
        <f>'Quadro de Áreas'!$D$13</f>
        <v>150</v>
      </c>
      <c r="G17" s="26">
        <f>'Quadro de Áreas'!$D$20</f>
        <v>0</v>
      </c>
      <c r="H17" s="26">
        <f>'Quadro de Áreas'!$D$27</f>
        <v>0</v>
      </c>
      <c r="I17" s="26">
        <f t="shared" si="0"/>
        <v>150</v>
      </c>
      <c r="J17" s="27"/>
      <c r="K17" s="117">
        <f t="shared" si="1"/>
        <v>0</v>
      </c>
      <c r="L17" s="244"/>
    </row>
    <row r="18" spans="1:17" x14ac:dyDescent="0.25">
      <c r="A18" s="476"/>
      <c r="B18" s="338" t="s">
        <v>457</v>
      </c>
      <c r="C18" s="245">
        <v>0.2</v>
      </c>
      <c r="D18" s="243">
        <v>1</v>
      </c>
      <c r="E18" s="52">
        <f t="shared" si="2"/>
        <v>0.2</v>
      </c>
      <c r="F18" s="26">
        <f>'Quadro de Áreas'!$D$13</f>
        <v>150</v>
      </c>
      <c r="G18" s="26">
        <f>'Quadro de Áreas'!$D$20</f>
        <v>0</v>
      </c>
      <c r="H18" s="26">
        <f>'Quadro de Áreas'!$D$27</f>
        <v>0</v>
      </c>
      <c r="I18" s="26">
        <f t="shared" si="0"/>
        <v>150</v>
      </c>
      <c r="J18" s="27">
        <f>$I$83</f>
        <v>116.66</v>
      </c>
      <c r="K18" s="117">
        <f t="shared" si="1"/>
        <v>1083.5344353090868</v>
      </c>
      <c r="L18" s="244"/>
      <c r="O18" s="47"/>
    </row>
    <row r="19" spans="1:17" x14ac:dyDescent="0.25">
      <c r="A19" s="476"/>
      <c r="B19" s="338" t="s">
        <v>458</v>
      </c>
      <c r="C19" s="245">
        <v>0.13</v>
      </c>
      <c r="D19" s="243">
        <v>1</v>
      </c>
      <c r="E19" s="52">
        <f t="shared" si="2"/>
        <v>0.13</v>
      </c>
      <c r="F19" s="26">
        <f>'Quadro de Áreas'!$D$13</f>
        <v>150</v>
      </c>
      <c r="G19" s="26">
        <f>'Quadro de Áreas'!$D$20</f>
        <v>0</v>
      </c>
      <c r="H19" s="26">
        <f>'Quadro de Áreas'!$D$27</f>
        <v>0</v>
      </c>
      <c r="I19" s="26">
        <f t="shared" si="0"/>
        <v>150</v>
      </c>
      <c r="J19" s="27">
        <f>$I$83</f>
        <v>116.66</v>
      </c>
      <c r="K19" s="117">
        <f t="shared" si="1"/>
        <v>704.29738295090658</v>
      </c>
      <c r="L19" s="244"/>
      <c r="O19" s="47"/>
    </row>
    <row r="20" spans="1:17" x14ac:dyDescent="0.25">
      <c r="A20" s="339"/>
      <c r="B20" s="340"/>
      <c r="C20" s="341"/>
      <c r="D20" s="341"/>
      <c r="E20" s="341"/>
      <c r="F20" s="341"/>
      <c r="G20" s="341"/>
      <c r="H20" s="341"/>
      <c r="I20" s="341"/>
      <c r="J20" s="342" t="s">
        <v>46</v>
      </c>
      <c r="K20" s="116">
        <f>SUM(K14:K19)</f>
        <v>6121.9695594963405</v>
      </c>
      <c r="L20" s="246"/>
    </row>
    <row r="21" spans="1:17" hidden="1" x14ac:dyDescent="0.25">
      <c r="A21" s="463" t="s">
        <v>128</v>
      </c>
      <c r="B21" s="253" t="s">
        <v>459</v>
      </c>
      <c r="C21" s="247">
        <v>9.9000000000000005E-2</v>
      </c>
      <c r="D21" s="243">
        <v>0</v>
      </c>
      <c r="E21" s="52">
        <f t="shared" ref="E21:E31" si="3">ROUND(C21*D21,6)</f>
        <v>0</v>
      </c>
      <c r="F21" s="26">
        <f>'[1]Quadro de Áreas'!$D$28</f>
        <v>2971.7599999999993</v>
      </c>
      <c r="G21" s="26">
        <f>'[1]Quadro de Áreas'!$D$38</f>
        <v>2389.71</v>
      </c>
      <c r="H21" s="26">
        <f>'[1]Quadro de Áreas'!$D$46</f>
        <v>3270.9700000000003</v>
      </c>
      <c r="I21" s="26">
        <f>(1*F21)+(0.5*G21)+(0.25*H21)</f>
        <v>4984.3575000000001</v>
      </c>
      <c r="J21" s="90">
        <f t="shared" ref="J21:J24" si="4">$I$86</f>
        <v>127.49</v>
      </c>
      <c r="K21" s="117">
        <f t="shared" si="1"/>
        <v>0</v>
      </c>
      <c r="L21" s="244"/>
      <c r="O21" s="47"/>
    </row>
    <row r="22" spans="1:17" hidden="1" x14ac:dyDescent="0.25">
      <c r="A22" s="463"/>
      <c r="B22" s="253" t="s">
        <v>460</v>
      </c>
      <c r="C22" s="247">
        <v>3.5999999999999997E-2</v>
      </c>
      <c r="D22" s="243">
        <v>0</v>
      </c>
      <c r="E22" s="52">
        <f t="shared" si="3"/>
        <v>0</v>
      </c>
      <c r="F22" s="26">
        <f>'[1]Quadro de Áreas'!$D$28</f>
        <v>2971.7599999999993</v>
      </c>
      <c r="G22" s="26">
        <f>'[1]Quadro de Áreas'!$D$38</f>
        <v>2389.71</v>
      </c>
      <c r="H22" s="26">
        <f>'[1]Quadro de Áreas'!$D$46</f>
        <v>3270.9700000000003</v>
      </c>
      <c r="I22" s="26">
        <f t="shared" ref="I22:I33" si="5">(1*F22)+(0.5*G22)+(0.25*H22)</f>
        <v>4984.3575000000001</v>
      </c>
      <c r="J22" s="90">
        <f t="shared" si="4"/>
        <v>127.49</v>
      </c>
      <c r="K22" s="117">
        <f t="shared" si="1"/>
        <v>0</v>
      </c>
      <c r="L22" s="244"/>
      <c r="O22" s="47"/>
    </row>
    <row r="23" spans="1:17" ht="31.5" hidden="1" x14ac:dyDescent="0.25">
      <c r="A23" s="463"/>
      <c r="B23" s="253" t="s">
        <v>461</v>
      </c>
      <c r="C23" s="247">
        <v>0.13500000000000001</v>
      </c>
      <c r="D23" s="243">
        <v>0</v>
      </c>
      <c r="E23" s="52">
        <f t="shared" si="3"/>
        <v>0</v>
      </c>
      <c r="F23" s="26">
        <f>'[1]Quadro de Áreas'!$D$28</f>
        <v>2971.7599999999993</v>
      </c>
      <c r="G23" s="26">
        <f>'[1]Quadro de Áreas'!$D$38</f>
        <v>2389.71</v>
      </c>
      <c r="H23" s="26">
        <f>'[1]Quadro de Áreas'!$D$46</f>
        <v>3270.9700000000003</v>
      </c>
      <c r="I23" s="26">
        <f t="shared" si="5"/>
        <v>4984.3575000000001</v>
      </c>
      <c r="J23" s="90">
        <f t="shared" si="4"/>
        <v>127.49</v>
      </c>
      <c r="K23" s="117">
        <f t="shared" si="1"/>
        <v>0</v>
      </c>
      <c r="L23" s="244"/>
    </row>
    <row r="24" spans="1:17" hidden="1" x14ac:dyDescent="0.25">
      <c r="A24" s="463"/>
      <c r="B24" s="253" t="s">
        <v>462</v>
      </c>
      <c r="C24" s="247">
        <v>0.14099999999999999</v>
      </c>
      <c r="D24" s="243">
        <v>0</v>
      </c>
      <c r="E24" s="52">
        <f t="shared" si="3"/>
        <v>0</v>
      </c>
      <c r="F24" s="26">
        <f>'[1]Quadro de Áreas'!$D$28</f>
        <v>2971.7599999999993</v>
      </c>
      <c r="G24" s="26">
        <f>'[1]Quadro de Áreas'!$D$38</f>
        <v>2389.71</v>
      </c>
      <c r="H24" s="26">
        <f>'[1]Quadro de Áreas'!$D$46</f>
        <v>3270.9700000000003</v>
      </c>
      <c r="I24" s="26">
        <f>(1*F24)+(0.5*G24)+(0.25*H24)</f>
        <v>4984.3575000000001</v>
      </c>
      <c r="J24" s="90">
        <f t="shared" si="4"/>
        <v>127.49</v>
      </c>
      <c r="K24" s="117">
        <f>(E24*J24)*((8/I24)^0.4)*I24</f>
        <v>0</v>
      </c>
      <c r="L24" s="244"/>
    </row>
    <row r="25" spans="1:17" hidden="1" x14ac:dyDescent="0.25">
      <c r="A25" s="463"/>
      <c r="B25" s="253" t="s">
        <v>65</v>
      </c>
      <c r="C25" s="68">
        <v>0.33</v>
      </c>
      <c r="D25" s="243">
        <v>1</v>
      </c>
      <c r="E25" s="52">
        <f t="shared" si="3"/>
        <v>0.33</v>
      </c>
      <c r="F25" s="26">
        <f>'Quadro de Áreas'!$D$13</f>
        <v>150</v>
      </c>
      <c r="G25" s="26">
        <f>'Quadro de Áreas'!$D$20</f>
        <v>0</v>
      </c>
      <c r="H25" s="26">
        <f>'Quadro de Áreas'!$D$27</f>
        <v>0</v>
      </c>
      <c r="I25" s="26">
        <f t="shared" si="5"/>
        <v>150</v>
      </c>
      <c r="J25" s="27"/>
      <c r="K25" s="117">
        <f t="shared" si="1"/>
        <v>0</v>
      </c>
      <c r="L25" s="244"/>
    </row>
    <row r="26" spans="1:17" x14ac:dyDescent="0.25">
      <c r="A26" s="463"/>
      <c r="B26" s="253" t="s">
        <v>518</v>
      </c>
      <c r="C26" s="68">
        <v>0.09</v>
      </c>
      <c r="D26" s="243">
        <v>1</v>
      </c>
      <c r="E26" s="52">
        <f t="shared" ref="E26" si="6">ROUND(C26*D26,6)</f>
        <v>0.09</v>
      </c>
      <c r="F26" s="26">
        <f>'Quadro de Áreas'!$D$13</f>
        <v>150</v>
      </c>
      <c r="G26" s="26">
        <f>'Quadro de Áreas'!$D$20</f>
        <v>0</v>
      </c>
      <c r="H26" s="26">
        <f>'Quadro de Áreas'!$D$27</f>
        <v>0</v>
      </c>
      <c r="I26" s="26">
        <f t="shared" ref="I26" si="7">(1*F26)+(0.5*G26)+(0.25*H26)</f>
        <v>150</v>
      </c>
      <c r="J26" s="27">
        <f>$I$86</f>
        <v>127.49</v>
      </c>
      <c r="K26" s="117">
        <f t="shared" ref="K26" si="8">(E26*J26)*((8/I26)^0.4)*I26</f>
        <v>532.85541163123582</v>
      </c>
      <c r="L26" s="244"/>
    </row>
    <row r="27" spans="1:17" x14ac:dyDescent="0.25">
      <c r="A27" s="463"/>
      <c r="B27" s="253" t="s">
        <v>59</v>
      </c>
      <c r="C27" s="68">
        <v>0.12</v>
      </c>
      <c r="D27" s="243">
        <v>1</v>
      </c>
      <c r="E27" s="52">
        <f t="shared" si="3"/>
        <v>0.12</v>
      </c>
      <c r="F27" s="26">
        <f>'Quadro de Áreas'!$D$13</f>
        <v>150</v>
      </c>
      <c r="G27" s="26">
        <f>'Quadro de Áreas'!$D$20</f>
        <v>0</v>
      </c>
      <c r="H27" s="26">
        <f>'Quadro de Áreas'!$D$27</f>
        <v>0</v>
      </c>
      <c r="I27" s="26">
        <f t="shared" si="5"/>
        <v>150</v>
      </c>
      <c r="J27" s="27">
        <f>$I$86</f>
        <v>127.49</v>
      </c>
      <c r="K27" s="117">
        <f t="shared" si="1"/>
        <v>710.47388217498099</v>
      </c>
      <c r="L27" s="244"/>
    </row>
    <row r="28" spans="1:17" hidden="1" x14ac:dyDescent="0.25">
      <c r="A28" s="463"/>
      <c r="B28" s="253" t="s">
        <v>55</v>
      </c>
      <c r="C28" s="247">
        <v>0.1</v>
      </c>
      <c r="D28" s="243">
        <v>1</v>
      </c>
      <c r="E28" s="52">
        <f t="shared" si="3"/>
        <v>0.1</v>
      </c>
      <c r="F28" s="26">
        <f>'Quadro de Áreas'!$D$13</f>
        <v>150</v>
      </c>
      <c r="G28" s="26">
        <f>'Quadro de Áreas'!$D$20</f>
        <v>0</v>
      </c>
      <c r="H28" s="26">
        <f>'Quadro de Áreas'!$D$27</f>
        <v>0</v>
      </c>
      <c r="I28" s="26">
        <f t="shared" si="5"/>
        <v>150</v>
      </c>
      <c r="J28" s="27"/>
      <c r="K28" s="117">
        <f t="shared" si="1"/>
        <v>0</v>
      </c>
      <c r="L28" s="244"/>
      <c r="N28" s="45"/>
    </row>
    <row r="29" spans="1:17" x14ac:dyDescent="0.25">
      <c r="A29" s="463"/>
      <c r="B29" s="253" t="s">
        <v>516</v>
      </c>
      <c r="C29" s="315">
        <v>1</v>
      </c>
      <c r="D29" s="243">
        <v>1</v>
      </c>
      <c r="E29" s="52">
        <f t="shared" si="3"/>
        <v>1</v>
      </c>
      <c r="F29" s="26">
        <f>'Quadro de Áreas'!$D$13</f>
        <v>150</v>
      </c>
      <c r="G29" s="26">
        <f>'Quadro de Áreas'!$D$20</f>
        <v>0</v>
      </c>
      <c r="H29" s="26">
        <f>'Quadro de Áreas'!$D$27</f>
        <v>0</v>
      </c>
      <c r="I29" s="26">
        <f t="shared" si="5"/>
        <v>150</v>
      </c>
      <c r="J29" s="27">
        <f>$I$86</f>
        <v>127.49</v>
      </c>
      <c r="K29" s="117">
        <f t="shared" si="1"/>
        <v>5920.615684791509</v>
      </c>
      <c r="L29" s="244"/>
      <c r="O29" s="248"/>
      <c r="P29" s="47"/>
      <c r="Q29" s="10"/>
    </row>
    <row r="30" spans="1:17" hidden="1" x14ac:dyDescent="0.25">
      <c r="A30" s="463"/>
      <c r="B30" s="253" t="s">
        <v>463</v>
      </c>
      <c r="C30" s="68">
        <v>0.15</v>
      </c>
      <c r="D30" s="243">
        <v>1</v>
      </c>
      <c r="E30" s="52">
        <f t="shared" si="3"/>
        <v>0.15</v>
      </c>
      <c r="F30" s="26">
        <f>'Quadro de Áreas'!$D$13</f>
        <v>150</v>
      </c>
      <c r="G30" s="26">
        <f>'Quadro de Áreas'!$D$20</f>
        <v>0</v>
      </c>
      <c r="H30" s="26">
        <f>'Quadro de Áreas'!$D$27</f>
        <v>0</v>
      </c>
      <c r="I30" s="26">
        <f>(1*F30)+(0.5*G30)+(0.25*H30)</f>
        <v>150</v>
      </c>
      <c r="J30" s="27"/>
      <c r="K30" s="117">
        <f>(E30*J30)*((8/I30)^0.4)*I30</f>
        <v>0</v>
      </c>
      <c r="L30" s="244"/>
      <c r="O30" s="248"/>
      <c r="P30" s="47"/>
      <c r="Q30" s="10"/>
    </row>
    <row r="31" spans="1:17" x14ac:dyDescent="0.25">
      <c r="A31" s="463"/>
      <c r="B31" s="253" t="s">
        <v>57</v>
      </c>
      <c r="C31" s="68">
        <v>0.45</v>
      </c>
      <c r="D31" s="243">
        <v>1</v>
      </c>
      <c r="E31" s="52">
        <f t="shared" si="3"/>
        <v>0.45</v>
      </c>
      <c r="F31" s="26">
        <f>'Quadro de Áreas'!$D$13</f>
        <v>150</v>
      </c>
      <c r="G31" s="26">
        <f>'Quadro de Áreas'!$D$20</f>
        <v>0</v>
      </c>
      <c r="H31" s="26">
        <f>'Quadro de Áreas'!$D$27</f>
        <v>0</v>
      </c>
      <c r="I31" s="26">
        <f t="shared" si="5"/>
        <v>150</v>
      </c>
      <c r="J31" s="27">
        <f>$I$86</f>
        <v>127.49</v>
      </c>
      <c r="K31" s="117">
        <f t="shared" si="1"/>
        <v>2664.277058156179</v>
      </c>
      <c r="L31" s="244"/>
      <c r="O31" s="248"/>
      <c r="P31" s="47"/>
      <c r="Q31" s="10"/>
    </row>
    <row r="32" spans="1:17" x14ac:dyDescent="0.25">
      <c r="A32" s="463"/>
      <c r="B32" s="253" t="s">
        <v>517</v>
      </c>
      <c r="C32" s="68">
        <v>0.47</v>
      </c>
      <c r="D32" s="243">
        <v>1</v>
      </c>
      <c r="E32" s="52">
        <f>ROUND(C32*D32,6)</f>
        <v>0.47</v>
      </c>
      <c r="F32" s="26">
        <f>'Quadro de Áreas'!$D$13</f>
        <v>150</v>
      </c>
      <c r="G32" s="26">
        <f>'Quadro de Áreas'!$D$20</f>
        <v>0</v>
      </c>
      <c r="H32" s="26">
        <f>'Quadro de Áreas'!$D$27</f>
        <v>0</v>
      </c>
      <c r="I32" s="26">
        <f>(1*F32)+(0.5*G32)+(0.25*H32)</f>
        <v>150</v>
      </c>
      <c r="J32" s="27">
        <f>$I$86</f>
        <v>127.49</v>
      </c>
      <c r="K32" s="117">
        <f>(E32*J32)*((8/I32)^0.4)*I32</f>
        <v>2782.6893718520091</v>
      </c>
      <c r="L32" s="244"/>
      <c r="O32" s="248"/>
      <c r="P32" s="47"/>
      <c r="Q32" s="10"/>
    </row>
    <row r="33" spans="1:17" x14ac:dyDescent="0.25">
      <c r="A33" s="463"/>
      <c r="B33" s="253" t="s">
        <v>58</v>
      </c>
      <c r="C33" s="68">
        <v>0.14000000000000001</v>
      </c>
      <c r="D33" s="243">
        <v>1</v>
      </c>
      <c r="E33" s="52">
        <f t="shared" ref="E33" si="9">ROUND(C33*D33,6)</f>
        <v>0.14000000000000001</v>
      </c>
      <c r="F33" s="26">
        <f>'Quadro de Áreas'!$D$13</f>
        <v>150</v>
      </c>
      <c r="G33" s="26">
        <f>'Quadro de Áreas'!$D$20</f>
        <v>0</v>
      </c>
      <c r="H33" s="26">
        <f>'Quadro de Áreas'!$D$27</f>
        <v>0</v>
      </c>
      <c r="I33" s="26">
        <f t="shared" si="5"/>
        <v>150</v>
      </c>
      <c r="J33" s="27">
        <f>$I$86</f>
        <v>127.49</v>
      </c>
      <c r="K33" s="117">
        <f t="shared" si="1"/>
        <v>828.88619587081132</v>
      </c>
      <c r="L33" s="244"/>
      <c r="O33" s="248"/>
      <c r="P33" s="47"/>
      <c r="Q33" s="10"/>
    </row>
    <row r="34" spans="1:17" x14ac:dyDescent="0.25">
      <c r="A34" s="463"/>
      <c r="B34" s="343"/>
      <c r="C34" s="341"/>
      <c r="D34" s="341"/>
      <c r="E34" s="341"/>
      <c r="F34" s="341"/>
      <c r="G34" s="341"/>
      <c r="H34" s="341"/>
      <c r="I34" s="341"/>
      <c r="J34" s="342" t="s">
        <v>47</v>
      </c>
      <c r="K34" s="116">
        <f>SUM(K21:K33)</f>
        <v>13439.797604476726</v>
      </c>
      <c r="L34" s="246"/>
      <c r="O34" s="248"/>
      <c r="P34" s="47"/>
      <c r="Q34" s="10"/>
    </row>
    <row r="35" spans="1:17" hidden="1" x14ac:dyDescent="0.25">
      <c r="A35" s="476" t="s">
        <v>129</v>
      </c>
      <c r="B35" s="253" t="s">
        <v>464</v>
      </c>
      <c r="C35" s="247">
        <v>0.06</v>
      </c>
      <c r="D35" s="243">
        <v>1</v>
      </c>
      <c r="E35" s="52">
        <f t="shared" ref="E35:E55" si="10">ROUND(C35*D35,6)</f>
        <v>0.06</v>
      </c>
      <c r="F35" s="26">
        <f>'Quadro de Áreas'!$D$13</f>
        <v>150</v>
      </c>
      <c r="G35" s="26">
        <f>'Quadro de Áreas'!$D$20</f>
        <v>0</v>
      </c>
      <c r="H35" s="26">
        <f>'Quadro de Áreas'!$D$27</f>
        <v>0</v>
      </c>
      <c r="I35" s="26">
        <f t="shared" ref="I35:I55" si="11">(1*F35)+(0.5*G35)+(0.25*H35)</f>
        <v>150</v>
      </c>
      <c r="J35" s="90"/>
      <c r="K35" s="117">
        <f t="shared" si="1"/>
        <v>0</v>
      </c>
      <c r="L35" s="244"/>
      <c r="O35" s="43"/>
      <c r="P35" s="81"/>
    </row>
    <row r="36" spans="1:17" ht="31.5" hidden="1" x14ac:dyDescent="0.25">
      <c r="A36" s="476"/>
      <c r="B36" s="253" t="s">
        <v>465</v>
      </c>
      <c r="C36" s="247">
        <v>0.20399999999999999</v>
      </c>
      <c r="D36" s="243">
        <v>1</v>
      </c>
      <c r="E36" s="52">
        <f t="shared" si="10"/>
        <v>0.20399999999999999</v>
      </c>
      <c r="F36" s="26">
        <f>'Quadro de Áreas'!$D$13</f>
        <v>150</v>
      </c>
      <c r="G36" s="26">
        <f>'Quadro de Áreas'!$D$20</f>
        <v>0</v>
      </c>
      <c r="H36" s="26">
        <f>'Quadro de Áreas'!$D$27</f>
        <v>0</v>
      </c>
      <c r="I36" s="26">
        <f t="shared" si="11"/>
        <v>150</v>
      </c>
      <c r="J36" s="90"/>
      <c r="K36" s="117">
        <f t="shared" si="1"/>
        <v>0</v>
      </c>
      <c r="L36" s="244"/>
    </row>
    <row r="37" spans="1:17" ht="31.5" hidden="1" x14ac:dyDescent="0.25">
      <c r="A37" s="476"/>
      <c r="B37" s="253" t="s">
        <v>466</v>
      </c>
      <c r="C37" s="247">
        <v>0.09</v>
      </c>
      <c r="D37" s="243">
        <v>0</v>
      </c>
      <c r="E37" s="52">
        <f t="shared" si="10"/>
        <v>0</v>
      </c>
      <c r="F37" s="26">
        <f>'Quadro de Áreas'!$D$13</f>
        <v>150</v>
      </c>
      <c r="G37" s="26">
        <f>'Quadro de Áreas'!$D$20</f>
        <v>0</v>
      </c>
      <c r="H37" s="26">
        <f>'Quadro de Áreas'!$D$27</f>
        <v>0</v>
      </c>
      <c r="I37" s="26">
        <f t="shared" si="11"/>
        <v>150</v>
      </c>
      <c r="J37" s="90">
        <f t="shared" ref="J37:J41" si="12">$I$89</f>
        <v>110.73</v>
      </c>
      <c r="K37" s="117">
        <f t="shared" si="1"/>
        <v>0</v>
      </c>
      <c r="L37" s="244"/>
    </row>
    <row r="38" spans="1:17" hidden="1" x14ac:dyDescent="0.25">
      <c r="A38" s="476"/>
      <c r="B38" s="253" t="s">
        <v>467</v>
      </c>
      <c r="C38" s="247">
        <v>5.0999999999999997E-2</v>
      </c>
      <c r="D38" s="243">
        <v>0</v>
      </c>
      <c r="E38" s="52">
        <f t="shared" si="10"/>
        <v>0</v>
      </c>
      <c r="F38" s="26">
        <f>'Quadro de Áreas'!$D$13</f>
        <v>150</v>
      </c>
      <c r="G38" s="26">
        <f>'Quadro de Áreas'!$D$20</f>
        <v>0</v>
      </c>
      <c r="H38" s="26">
        <f>'Quadro de Áreas'!$D$27</f>
        <v>0</v>
      </c>
      <c r="I38" s="26">
        <f t="shared" si="11"/>
        <v>150</v>
      </c>
      <c r="J38" s="90">
        <f t="shared" si="12"/>
        <v>110.73</v>
      </c>
      <c r="K38" s="117">
        <f t="shared" si="1"/>
        <v>0</v>
      </c>
      <c r="L38" s="244"/>
    </row>
    <row r="39" spans="1:17" ht="31.5" hidden="1" x14ac:dyDescent="0.25">
      <c r="A39" s="476"/>
      <c r="B39" s="253" t="s">
        <v>468</v>
      </c>
      <c r="C39" s="247">
        <v>5.3999999999999999E-2</v>
      </c>
      <c r="D39" s="243">
        <v>0</v>
      </c>
      <c r="E39" s="52">
        <f t="shared" si="10"/>
        <v>0</v>
      </c>
      <c r="F39" s="26">
        <f>'Quadro de Áreas'!$D$13</f>
        <v>150</v>
      </c>
      <c r="G39" s="26">
        <f>'Quadro de Áreas'!$D$20</f>
        <v>0</v>
      </c>
      <c r="H39" s="26">
        <f>'Quadro de Áreas'!$D$27</f>
        <v>0</v>
      </c>
      <c r="I39" s="26">
        <f t="shared" si="11"/>
        <v>150</v>
      </c>
      <c r="J39" s="90">
        <f t="shared" si="12"/>
        <v>110.73</v>
      </c>
      <c r="K39" s="117">
        <f t="shared" si="1"/>
        <v>0</v>
      </c>
      <c r="L39" s="244"/>
    </row>
    <row r="40" spans="1:17" x14ac:dyDescent="0.25">
      <c r="A40" s="476"/>
      <c r="B40" s="253" t="s">
        <v>82</v>
      </c>
      <c r="C40" s="247">
        <v>0.2</v>
      </c>
      <c r="D40" s="243">
        <v>1</v>
      </c>
      <c r="E40" s="52">
        <f t="shared" si="10"/>
        <v>0.2</v>
      </c>
      <c r="F40" s="26">
        <f>'Quadro de Áreas'!$D$13</f>
        <v>150</v>
      </c>
      <c r="G40" s="26">
        <f>'Quadro de Áreas'!$D$20</f>
        <v>0</v>
      </c>
      <c r="H40" s="26">
        <f>'Quadro de Áreas'!$D$27</f>
        <v>0</v>
      </c>
      <c r="I40" s="26">
        <f t="shared" si="11"/>
        <v>150</v>
      </c>
      <c r="J40" s="90">
        <f t="shared" si="12"/>
        <v>110.73</v>
      </c>
      <c r="K40" s="117">
        <f t="shared" si="1"/>
        <v>1028.456780574106</v>
      </c>
      <c r="L40" s="244"/>
    </row>
    <row r="41" spans="1:17" x14ac:dyDescent="0.25">
      <c r="A41" s="476"/>
      <c r="B41" s="253" t="s">
        <v>40</v>
      </c>
      <c r="C41" s="68">
        <v>0.09</v>
      </c>
      <c r="D41" s="243">
        <v>1</v>
      </c>
      <c r="E41" s="52">
        <f t="shared" si="10"/>
        <v>0.09</v>
      </c>
      <c r="F41" s="26">
        <f>'Quadro de Áreas'!$D$13</f>
        <v>150</v>
      </c>
      <c r="G41" s="26">
        <f>'Quadro de Áreas'!$D$20</f>
        <v>0</v>
      </c>
      <c r="H41" s="26">
        <f>'Quadro de Áreas'!$D$27</f>
        <v>0</v>
      </c>
      <c r="I41" s="26">
        <f t="shared" si="11"/>
        <v>150</v>
      </c>
      <c r="J41" s="90">
        <f t="shared" si="12"/>
        <v>110.73</v>
      </c>
      <c r="K41" s="117">
        <f t="shared" si="1"/>
        <v>462.80555125834763</v>
      </c>
      <c r="L41" s="244"/>
    </row>
    <row r="42" spans="1:17" x14ac:dyDescent="0.25">
      <c r="A42" s="476"/>
      <c r="B42" s="253" t="s">
        <v>83</v>
      </c>
      <c r="C42" s="68">
        <v>0.17</v>
      </c>
      <c r="D42" s="243">
        <v>1</v>
      </c>
      <c r="E42" s="52">
        <f t="shared" si="10"/>
        <v>0.17</v>
      </c>
      <c r="F42" s="26">
        <f>'Quadro de Áreas'!$D$13</f>
        <v>150</v>
      </c>
      <c r="G42" s="26">
        <f>'Quadro de Áreas'!$D$20</f>
        <v>0</v>
      </c>
      <c r="H42" s="26">
        <f>'Quadro de Áreas'!$D$27</f>
        <v>0</v>
      </c>
      <c r="I42" s="26">
        <f t="shared" si="11"/>
        <v>150</v>
      </c>
      <c r="J42" s="90">
        <f>$I$89</f>
        <v>110.73</v>
      </c>
      <c r="K42" s="117">
        <f t="shared" si="1"/>
        <v>874.18826348799007</v>
      </c>
      <c r="L42" s="244"/>
    </row>
    <row r="43" spans="1:17" x14ac:dyDescent="0.25">
      <c r="A43" s="476"/>
      <c r="B43" s="253" t="s">
        <v>84</v>
      </c>
      <c r="C43" s="68">
        <v>0.17</v>
      </c>
      <c r="D43" s="243">
        <v>1</v>
      </c>
      <c r="E43" s="52">
        <f t="shared" si="10"/>
        <v>0.17</v>
      </c>
      <c r="F43" s="26">
        <f>'Quadro de Áreas'!$D$13</f>
        <v>150</v>
      </c>
      <c r="G43" s="26">
        <f>'Quadro de Áreas'!$D$20</f>
        <v>0</v>
      </c>
      <c r="H43" s="26">
        <f>'Quadro de Áreas'!$D$27</f>
        <v>0</v>
      </c>
      <c r="I43" s="26">
        <f t="shared" si="11"/>
        <v>150</v>
      </c>
      <c r="J43" s="90">
        <f>$I$89</f>
        <v>110.73</v>
      </c>
      <c r="K43" s="117">
        <f t="shared" si="1"/>
        <v>874.18826348799007</v>
      </c>
      <c r="L43" s="244"/>
    </row>
    <row r="44" spans="1:17" hidden="1" x14ac:dyDescent="0.25">
      <c r="A44" s="476"/>
      <c r="B44" s="253" t="s">
        <v>93</v>
      </c>
      <c r="C44" s="68">
        <v>0.17</v>
      </c>
      <c r="D44" s="243">
        <v>1</v>
      </c>
      <c r="E44" s="52">
        <f t="shared" si="10"/>
        <v>0.17</v>
      </c>
      <c r="F44" s="26">
        <f>'Quadro de Áreas'!$D$13</f>
        <v>150</v>
      </c>
      <c r="G44" s="26">
        <f>'Quadro de Áreas'!$D$20</f>
        <v>0</v>
      </c>
      <c r="H44" s="26">
        <f>'Quadro de Áreas'!$D$27</f>
        <v>0</v>
      </c>
      <c r="I44" s="26">
        <f t="shared" si="11"/>
        <v>150</v>
      </c>
      <c r="J44" s="90"/>
      <c r="K44" s="117">
        <f t="shared" si="1"/>
        <v>0</v>
      </c>
      <c r="L44" s="244"/>
    </row>
    <row r="45" spans="1:17" hidden="1" x14ac:dyDescent="0.25">
      <c r="A45" s="476"/>
      <c r="B45" s="253" t="s">
        <v>469</v>
      </c>
      <c r="C45" s="247">
        <v>0.17</v>
      </c>
      <c r="D45" s="243">
        <v>1</v>
      </c>
      <c r="E45" s="52">
        <f t="shared" si="10"/>
        <v>0.17</v>
      </c>
      <c r="F45" s="26">
        <f>'Quadro de Áreas'!$D$13</f>
        <v>150</v>
      </c>
      <c r="G45" s="26">
        <f>'Quadro de Áreas'!$D$20</f>
        <v>0</v>
      </c>
      <c r="H45" s="26">
        <f>'Quadro de Áreas'!$D$27</f>
        <v>0</v>
      </c>
      <c r="I45" s="26">
        <f t="shared" si="11"/>
        <v>150</v>
      </c>
      <c r="J45" s="90"/>
      <c r="K45" s="117">
        <f t="shared" si="1"/>
        <v>0</v>
      </c>
      <c r="L45" s="244"/>
    </row>
    <row r="46" spans="1:17" ht="31.5" hidden="1" x14ac:dyDescent="0.25">
      <c r="A46" s="476"/>
      <c r="B46" s="253" t="s">
        <v>133</v>
      </c>
      <c r="C46" s="247">
        <v>0.3</v>
      </c>
      <c r="D46" s="243">
        <v>0</v>
      </c>
      <c r="E46" s="52">
        <f t="shared" si="10"/>
        <v>0</v>
      </c>
      <c r="F46" s="26">
        <f>'Quadro de Áreas'!$D$13</f>
        <v>150</v>
      </c>
      <c r="G46" s="26">
        <f>'Quadro de Áreas'!$D$20</f>
        <v>0</v>
      </c>
      <c r="H46" s="26">
        <f>'Quadro de Áreas'!$D$27</f>
        <v>0</v>
      </c>
      <c r="I46" s="26">
        <f t="shared" si="11"/>
        <v>150</v>
      </c>
      <c r="J46" s="90">
        <f t="shared" ref="J46:J54" si="13">$I$89</f>
        <v>110.73</v>
      </c>
      <c r="K46" s="117">
        <f t="shared" si="1"/>
        <v>0</v>
      </c>
      <c r="L46" s="244"/>
    </row>
    <row r="47" spans="1:17" x14ac:dyDescent="0.25">
      <c r="A47" s="476"/>
      <c r="B47" s="253" t="s">
        <v>86</v>
      </c>
      <c r="C47" s="68">
        <v>0.17</v>
      </c>
      <c r="D47" s="243">
        <v>1</v>
      </c>
      <c r="E47" s="52">
        <f t="shared" si="10"/>
        <v>0.17</v>
      </c>
      <c r="F47" s="26">
        <f>'Quadro de Áreas'!$D$13</f>
        <v>150</v>
      </c>
      <c r="G47" s="26">
        <f>'Quadro de Áreas'!$D$20</f>
        <v>0</v>
      </c>
      <c r="H47" s="26">
        <f>'Quadro de Áreas'!$D$27</f>
        <v>0</v>
      </c>
      <c r="I47" s="26">
        <f t="shared" si="11"/>
        <v>150</v>
      </c>
      <c r="J47" s="90">
        <f t="shared" si="13"/>
        <v>110.73</v>
      </c>
      <c r="K47" s="117">
        <f t="shared" si="1"/>
        <v>874.18826348799007</v>
      </c>
      <c r="L47" s="244"/>
    </row>
    <row r="48" spans="1:17" x14ac:dyDescent="0.25">
      <c r="A48" s="476"/>
      <c r="B48" s="253" t="s">
        <v>87</v>
      </c>
      <c r="C48" s="247">
        <v>0.06</v>
      </c>
      <c r="D48" s="243">
        <v>1</v>
      </c>
      <c r="E48" s="52">
        <f t="shared" si="10"/>
        <v>0.06</v>
      </c>
      <c r="F48" s="26">
        <f>'Quadro de Áreas'!$D$13</f>
        <v>150</v>
      </c>
      <c r="G48" s="26">
        <f>'Quadro de Áreas'!$D$20</f>
        <v>0</v>
      </c>
      <c r="H48" s="26">
        <f>'Quadro de Áreas'!$D$27</f>
        <v>0</v>
      </c>
      <c r="I48" s="26">
        <f t="shared" si="11"/>
        <v>150</v>
      </c>
      <c r="J48" s="90">
        <f t="shared" si="13"/>
        <v>110.73</v>
      </c>
      <c r="K48" s="117">
        <f t="shared" si="1"/>
        <v>308.53703417223176</v>
      </c>
      <c r="L48" s="244"/>
    </row>
    <row r="49" spans="1:12" x14ac:dyDescent="0.25">
      <c r="A49" s="476"/>
      <c r="B49" s="253" t="s">
        <v>111</v>
      </c>
      <c r="C49" s="247">
        <v>0.06</v>
      </c>
      <c r="D49" s="243">
        <v>1</v>
      </c>
      <c r="E49" s="52">
        <f t="shared" si="10"/>
        <v>0.06</v>
      </c>
      <c r="F49" s="26">
        <f>'Quadro de Áreas'!$D$13</f>
        <v>150</v>
      </c>
      <c r="G49" s="26">
        <f>'Quadro de Áreas'!$D$20</f>
        <v>0</v>
      </c>
      <c r="H49" s="26">
        <f>'Quadro de Áreas'!$D$27</f>
        <v>0</v>
      </c>
      <c r="I49" s="26">
        <f t="shared" si="11"/>
        <v>150</v>
      </c>
      <c r="J49" s="90">
        <f t="shared" si="13"/>
        <v>110.73</v>
      </c>
      <c r="K49" s="117">
        <f t="shared" si="1"/>
        <v>308.53703417223176</v>
      </c>
      <c r="L49" s="244"/>
    </row>
    <row r="50" spans="1:12" x14ac:dyDescent="0.25">
      <c r="A50" s="476"/>
      <c r="B50" s="253" t="s">
        <v>88</v>
      </c>
      <c r="C50" s="247">
        <v>0.06</v>
      </c>
      <c r="D50" s="243">
        <v>1</v>
      </c>
      <c r="E50" s="52">
        <f t="shared" si="10"/>
        <v>0.06</v>
      </c>
      <c r="F50" s="26">
        <f>'Quadro de Áreas'!$D$13</f>
        <v>150</v>
      </c>
      <c r="G50" s="26">
        <f>'Quadro de Áreas'!$D$20</f>
        <v>0</v>
      </c>
      <c r="H50" s="26">
        <f>'Quadro de Áreas'!$D$27</f>
        <v>0</v>
      </c>
      <c r="I50" s="26">
        <f t="shared" si="11"/>
        <v>150</v>
      </c>
      <c r="J50" s="90">
        <f t="shared" si="13"/>
        <v>110.73</v>
      </c>
      <c r="K50" s="117">
        <f t="shared" si="1"/>
        <v>308.53703417223176</v>
      </c>
      <c r="L50" s="244"/>
    </row>
    <row r="51" spans="1:12" x14ac:dyDescent="0.25">
      <c r="A51" s="476"/>
      <c r="B51" s="253" t="s">
        <v>89</v>
      </c>
      <c r="C51" s="68">
        <v>0.06</v>
      </c>
      <c r="D51" s="243">
        <v>1</v>
      </c>
      <c r="E51" s="52">
        <f t="shared" si="10"/>
        <v>0.06</v>
      </c>
      <c r="F51" s="26">
        <f>'Quadro de Áreas'!$D$13</f>
        <v>150</v>
      </c>
      <c r="G51" s="26">
        <f>'Quadro de Áreas'!$D$20</f>
        <v>0</v>
      </c>
      <c r="H51" s="26">
        <f>'Quadro de Áreas'!$D$27</f>
        <v>0</v>
      </c>
      <c r="I51" s="26">
        <f t="shared" si="11"/>
        <v>150</v>
      </c>
      <c r="J51" s="90">
        <f t="shared" si="13"/>
        <v>110.73</v>
      </c>
      <c r="K51" s="117">
        <f t="shared" si="1"/>
        <v>308.53703417223176</v>
      </c>
      <c r="L51" s="244"/>
    </row>
    <row r="52" spans="1:12" x14ac:dyDescent="0.25">
      <c r="A52" s="476"/>
      <c r="B52" s="253" t="s">
        <v>90</v>
      </c>
      <c r="C52" s="247">
        <v>0.39</v>
      </c>
      <c r="D52" s="243">
        <v>1</v>
      </c>
      <c r="E52" s="52">
        <f t="shared" si="10"/>
        <v>0.39</v>
      </c>
      <c r="F52" s="26">
        <f>'Quadro de Áreas'!$D$13</f>
        <v>150</v>
      </c>
      <c r="G52" s="26">
        <f>'Quadro de Áreas'!$D$20</f>
        <v>0</v>
      </c>
      <c r="H52" s="26">
        <f>'Quadro de Áreas'!$D$27</f>
        <v>0</v>
      </c>
      <c r="I52" s="26">
        <f t="shared" si="11"/>
        <v>150</v>
      </c>
      <c r="J52" s="90">
        <f t="shared" si="13"/>
        <v>110.73</v>
      </c>
      <c r="K52" s="117">
        <f t="shared" si="1"/>
        <v>2005.4907221195069</v>
      </c>
      <c r="L52" s="244"/>
    </row>
    <row r="53" spans="1:12" x14ac:dyDescent="0.25">
      <c r="A53" s="476"/>
      <c r="B53" s="253" t="s">
        <v>91</v>
      </c>
      <c r="C53" s="247">
        <v>0.16</v>
      </c>
      <c r="D53" s="243">
        <v>1</v>
      </c>
      <c r="E53" s="52">
        <f t="shared" si="10"/>
        <v>0.16</v>
      </c>
      <c r="F53" s="26">
        <f>'Quadro de Áreas'!$D$13</f>
        <v>150</v>
      </c>
      <c r="G53" s="26">
        <f>'Quadro de Áreas'!$D$20</f>
        <v>0</v>
      </c>
      <c r="H53" s="26">
        <f>'Quadro de Áreas'!$D$27</f>
        <v>0</v>
      </c>
      <c r="I53" s="26">
        <f>(1*F53)+(0.5*G53)+(0.25*H53)</f>
        <v>150</v>
      </c>
      <c r="J53" s="90">
        <f t="shared" si="13"/>
        <v>110.73</v>
      </c>
      <c r="K53" s="117">
        <f t="shared" si="1"/>
        <v>822.76542445928476</v>
      </c>
      <c r="L53" s="244"/>
    </row>
    <row r="54" spans="1:12" x14ac:dyDescent="0.25">
      <c r="A54" s="476"/>
      <c r="B54" s="253" t="s">
        <v>92</v>
      </c>
      <c r="C54" s="247">
        <v>0.16</v>
      </c>
      <c r="D54" s="243">
        <v>1</v>
      </c>
      <c r="E54" s="52">
        <f t="shared" si="10"/>
        <v>0.16</v>
      </c>
      <c r="F54" s="26">
        <f>'Quadro de Áreas'!$D$13</f>
        <v>150</v>
      </c>
      <c r="G54" s="26">
        <f>'Quadro de Áreas'!$D$20</f>
        <v>0</v>
      </c>
      <c r="H54" s="26">
        <f>'Quadro de Áreas'!$D$27</f>
        <v>0</v>
      </c>
      <c r="I54" s="26">
        <f t="shared" si="11"/>
        <v>150</v>
      </c>
      <c r="J54" s="90">
        <f t="shared" si="13"/>
        <v>110.73</v>
      </c>
      <c r="K54" s="117">
        <f t="shared" si="1"/>
        <v>822.76542445928476</v>
      </c>
      <c r="L54" s="244"/>
    </row>
    <row r="55" spans="1:12" hidden="1" x14ac:dyDescent="0.25">
      <c r="A55" s="476"/>
      <c r="B55" s="253" t="s">
        <v>81</v>
      </c>
      <c r="C55" s="247">
        <v>0.05</v>
      </c>
      <c r="D55" s="243">
        <v>1</v>
      </c>
      <c r="E55" s="52">
        <f t="shared" si="10"/>
        <v>0.05</v>
      </c>
      <c r="F55" s="26">
        <f>'[1]Quadro de Áreas'!$D$28</f>
        <v>2971.7599999999993</v>
      </c>
      <c r="G55" s="26">
        <f>'[1]Quadro de Áreas'!$D$38</f>
        <v>2389.71</v>
      </c>
      <c r="H55" s="26">
        <f>'[1]Quadro de Áreas'!$D$46</f>
        <v>3270.9700000000003</v>
      </c>
      <c r="I55" s="26">
        <f t="shared" si="11"/>
        <v>4984.3575000000001</v>
      </c>
      <c r="J55" s="90"/>
      <c r="K55" s="117">
        <f t="shared" si="1"/>
        <v>0</v>
      </c>
      <c r="L55" s="244"/>
    </row>
    <row r="56" spans="1:12" x14ac:dyDescent="0.25">
      <c r="A56" s="476"/>
      <c r="B56" s="343"/>
      <c r="C56" s="341"/>
      <c r="D56" s="341"/>
      <c r="E56" s="341"/>
      <c r="F56" s="341"/>
      <c r="G56" s="341"/>
      <c r="H56" s="341"/>
      <c r="I56" s="341"/>
      <c r="J56" s="342" t="s">
        <v>48</v>
      </c>
      <c r="K56" s="116">
        <f>SUM(K35:K55)</f>
        <v>8998.9968300234286</v>
      </c>
      <c r="L56" s="246"/>
    </row>
    <row r="57" spans="1:12" hidden="1" x14ac:dyDescent="0.25">
      <c r="A57" s="463" t="s">
        <v>49</v>
      </c>
      <c r="B57" s="253" t="s">
        <v>470</v>
      </c>
      <c r="C57" s="247">
        <v>0.108</v>
      </c>
      <c r="D57" s="243">
        <v>0</v>
      </c>
      <c r="E57" s="52">
        <f t="shared" ref="E57:E68" si="14">ROUND(C57*D57,6)</f>
        <v>0</v>
      </c>
      <c r="F57" s="26">
        <f>'[1]Quadro de Áreas'!$D$28</f>
        <v>2971.7599999999993</v>
      </c>
      <c r="G57" s="26">
        <f>'[1]Quadro de Áreas'!$D$38</f>
        <v>2389.71</v>
      </c>
      <c r="H57" s="26">
        <f>'[1]Quadro de Áreas'!$D$46</f>
        <v>3270.9700000000003</v>
      </c>
      <c r="I57" s="26">
        <f>(1*F57)+(0.5*G57)+(0.25*H57)</f>
        <v>4984.3575000000001</v>
      </c>
      <c r="J57" s="90">
        <f>$I$89</f>
        <v>110.73</v>
      </c>
      <c r="K57" s="117">
        <f t="shared" si="1"/>
        <v>0</v>
      </c>
      <c r="L57" s="244"/>
    </row>
    <row r="58" spans="1:12" hidden="1" x14ac:dyDescent="0.25">
      <c r="A58" s="463"/>
      <c r="B58" s="253" t="s">
        <v>471</v>
      </c>
      <c r="C58" s="247">
        <v>0.192</v>
      </c>
      <c r="D58" s="243">
        <v>0</v>
      </c>
      <c r="E58" s="52">
        <f t="shared" si="14"/>
        <v>0</v>
      </c>
      <c r="F58" s="26">
        <f>'[1]Quadro de Áreas'!$D$28</f>
        <v>2971.7599999999993</v>
      </c>
      <c r="G58" s="26">
        <f>'[1]Quadro de Áreas'!$D$38</f>
        <v>2389.71</v>
      </c>
      <c r="H58" s="26">
        <f>'[1]Quadro de Áreas'!$D$46</f>
        <v>3270.9700000000003</v>
      </c>
      <c r="I58" s="26">
        <f t="shared" ref="I58:I68" si="15">(1*F58)+(0.5*G58)+(0.25*H58)</f>
        <v>4984.3575000000001</v>
      </c>
      <c r="J58" s="90">
        <f>$I$89</f>
        <v>110.73</v>
      </c>
      <c r="K58" s="117">
        <f t="shared" si="1"/>
        <v>0</v>
      </c>
      <c r="L58" s="244"/>
    </row>
    <row r="59" spans="1:12" hidden="1" x14ac:dyDescent="0.25">
      <c r="A59" s="463"/>
      <c r="B59" s="253" t="s">
        <v>472</v>
      </c>
      <c r="C59" s="247">
        <v>0.08</v>
      </c>
      <c r="D59" s="243">
        <v>0</v>
      </c>
      <c r="E59" s="52">
        <f t="shared" si="14"/>
        <v>0</v>
      </c>
      <c r="F59" s="26">
        <f>'[1]Quadro de Áreas'!$D$28</f>
        <v>2971.7599999999993</v>
      </c>
      <c r="G59" s="26">
        <f>'[1]Quadro de Áreas'!$D$38</f>
        <v>2389.71</v>
      </c>
      <c r="H59" s="26">
        <f>'[1]Quadro de Áreas'!$D$46</f>
        <v>3270.9700000000003</v>
      </c>
      <c r="I59" s="26">
        <f t="shared" si="15"/>
        <v>4984.3575000000001</v>
      </c>
      <c r="J59" s="90">
        <f>$I$89</f>
        <v>110.73</v>
      </c>
      <c r="K59" s="117">
        <f t="shared" si="1"/>
        <v>0</v>
      </c>
      <c r="L59" s="244"/>
    </row>
    <row r="60" spans="1:12" hidden="1" x14ac:dyDescent="0.25">
      <c r="A60" s="463"/>
      <c r="B60" s="253" t="s">
        <v>97</v>
      </c>
      <c r="C60" s="247">
        <v>0.12</v>
      </c>
      <c r="D60" s="243">
        <v>1</v>
      </c>
      <c r="E60" s="52">
        <f t="shared" si="14"/>
        <v>0.12</v>
      </c>
      <c r="F60" s="26">
        <f>'Quadro de Áreas'!$D$13</f>
        <v>150</v>
      </c>
      <c r="G60" s="26">
        <f>'Quadro de Áreas'!$D$20</f>
        <v>0</v>
      </c>
      <c r="H60" s="26">
        <f>'Quadro de Áreas'!$D$27</f>
        <v>0</v>
      </c>
      <c r="I60" s="26">
        <f t="shared" si="15"/>
        <v>150</v>
      </c>
      <c r="J60" s="90"/>
      <c r="K60" s="117">
        <f t="shared" si="1"/>
        <v>0</v>
      </c>
      <c r="L60" s="244"/>
    </row>
    <row r="61" spans="1:12" hidden="1" x14ac:dyDescent="0.25">
      <c r="A61" s="463"/>
      <c r="B61" s="253" t="s">
        <v>473</v>
      </c>
      <c r="C61" s="247">
        <v>0.2</v>
      </c>
      <c r="D61" s="243">
        <v>0</v>
      </c>
      <c r="E61" s="52">
        <f t="shared" si="14"/>
        <v>0</v>
      </c>
      <c r="F61" s="26">
        <f>'Quadro de Áreas'!$D$13</f>
        <v>150</v>
      </c>
      <c r="G61" s="26">
        <f>'Quadro de Áreas'!$D$20</f>
        <v>0</v>
      </c>
      <c r="H61" s="26">
        <f>'Quadro de Áreas'!$D$27</f>
        <v>0</v>
      </c>
      <c r="I61" s="26">
        <f>(1*F61)+(0.5*G61)+(0.25*H61)</f>
        <v>150</v>
      </c>
      <c r="J61" s="90">
        <f>$I$89</f>
        <v>110.73</v>
      </c>
      <c r="K61" s="117">
        <f t="shared" si="1"/>
        <v>0</v>
      </c>
      <c r="L61" s="244"/>
    </row>
    <row r="62" spans="1:12" x14ac:dyDescent="0.25">
      <c r="A62" s="463"/>
      <c r="B62" s="253" t="s">
        <v>474</v>
      </c>
      <c r="C62" s="247">
        <v>0.28000000000000003</v>
      </c>
      <c r="D62" s="243">
        <v>1</v>
      </c>
      <c r="E62" s="52">
        <f t="shared" si="14"/>
        <v>0.28000000000000003</v>
      </c>
      <c r="F62" s="26">
        <f>'Quadro de Áreas'!$D$13</f>
        <v>150</v>
      </c>
      <c r="G62" s="26">
        <f>'Quadro de Áreas'!$D$20</f>
        <v>0</v>
      </c>
      <c r="H62" s="26">
        <f>'Quadro de Áreas'!$D$27</f>
        <v>0</v>
      </c>
      <c r="I62" s="26">
        <f>(1*F62)+(0.5*G62)+(0.25*H62)</f>
        <v>150</v>
      </c>
      <c r="J62" s="90">
        <f>$I$89</f>
        <v>110.73</v>
      </c>
      <c r="K62" s="117">
        <f t="shared" si="1"/>
        <v>1439.8394928037485</v>
      </c>
      <c r="L62" s="244"/>
    </row>
    <row r="63" spans="1:12" ht="31.5" hidden="1" x14ac:dyDescent="0.25">
      <c r="A63" s="463"/>
      <c r="B63" s="253" t="s">
        <v>475</v>
      </c>
      <c r="C63" s="247">
        <v>0.36</v>
      </c>
      <c r="D63" s="243">
        <v>0</v>
      </c>
      <c r="E63" s="52">
        <f t="shared" si="14"/>
        <v>0</v>
      </c>
      <c r="F63" s="26">
        <f>'Quadro de Áreas'!$D$13</f>
        <v>150</v>
      </c>
      <c r="G63" s="26">
        <f>'Quadro de Áreas'!$D$20</f>
        <v>0</v>
      </c>
      <c r="H63" s="26">
        <f>'Quadro de Áreas'!$D$27</f>
        <v>0</v>
      </c>
      <c r="I63" s="26">
        <f>(1*F63)+(0.5*G63)+(0.25*H63)</f>
        <v>150</v>
      </c>
      <c r="J63" s="90">
        <f>$I$89</f>
        <v>110.73</v>
      </c>
      <c r="K63" s="117">
        <f t="shared" si="1"/>
        <v>0</v>
      </c>
      <c r="L63" s="244"/>
    </row>
    <row r="64" spans="1:12" ht="47.25" hidden="1" x14ac:dyDescent="0.25">
      <c r="A64" s="463"/>
      <c r="B64" s="253" t="s">
        <v>476</v>
      </c>
      <c r="C64" s="247">
        <v>0.4</v>
      </c>
      <c r="D64" s="243">
        <v>0</v>
      </c>
      <c r="E64" s="52">
        <f t="shared" si="14"/>
        <v>0</v>
      </c>
      <c r="F64" s="26">
        <f>'Quadro de Áreas'!$D$13</f>
        <v>150</v>
      </c>
      <c r="G64" s="26">
        <f>'Quadro de Áreas'!$D$20</f>
        <v>0</v>
      </c>
      <c r="H64" s="26">
        <f>'Quadro de Áreas'!$D$27</f>
        <v>0</v>
      </c>
      <c r="I64" s="26">
        <f>(1*F64)+(0.5*G64)+(0.25*H64)</f>
        <v>150</v>
      </c>
      <c r="J64" s="90">
        <f>$I$89</f>
        <v>110.73</v>
      </c>
      <c r="K64" s="117">
        <f t="shared" si="1"/>
        <v>0</v>
      </c>
      <c r="L64" s="244"/>
    </row>
    <row r="65" spans="1:13" hidden="1" x14ac:dyDescent="0.25">
      <c r="A65" s="463"/>
      <c r="B65" s="253" t="s">
        <v>100</v>
      </c>
      <c r="C65" s="68">
        <v>0.64</v>
      </c>
      <c r="D65" s="243">
        <v>1</v>
      </c>
      <c r="E65" s="52">
        <f t="shared" si="14"/>
        <v>0.64</v>
      </c>
      <c r="F65" s="26">
        <f>'Quadro de Áreas'!$D$13</f>
        <v>150</v>
      </c>
      <c r="G65" s="26">
        <f>'Quadro de Áreas'!$D$20</f>
        <v>0</v>
      </c>
      <c r="H65" s="26">
        <f>'Quadro de Áreas'!$D$27</f>
        <v>0</v>
      </c>
      <c r="I65" s="26">
        <f t="shared" si="15"/>
        <v>150</v>
      </c>
      <c r="J65" s="90"/>
      <c r="K65" s="117">
        <f t="shared" si="1"/>
        <v>0</v>
      </c>
      <c r="L65" s="244"/>
    </row>
    <row r="66" spans="1:13" x14ac:dyDescent="0.25">
      <c r="A66" s="463"/>
      <c r="B66" s="343"/>
      <c r="C66" s="341"/>
      <c r="D66" s="341"/>
      <c r="E66" s="341"/>
      <c r="F66" s="341"/>
      <c r="G66" s="341"/>
      <c r="H66" s="341"/>
      <c r="I66" s="35"/>
      <c r="J66" s="342" t="s">
        <v>50</v>
      </c>
      <c r="K66" s="116">
        <f>SUM(K57:K65)</f>
        <v>1439.8394928037485</v>
      </c>
      <c r="L66" s="246"/>
    </row>
    <row r="67" spans="1:13" x14ac:dyDescent="0.25">
      <c r="A67" s="463" t="s">
        <v>477</v>
      </c>
      <c r="B67" s="253" t="s">
        <v>515</v>
      </c>
      <c r="C67" s="344">
        <v>1</v>
      </c>
      <c r="D67" s="243">
        <v>1</v>
      </c>
      <c r="E67" s="52">
        <f t="shared" si="14"/>
        <v>1</v>
      </c>
      <c r="F67" s="26">
        <f>'Quadro de Áreas'!$D$13</f>
        <v>150</v>
      </c>
      <c r="G67" s="26">
        <f>'Quadro de Áreas'!$D$20</f>
        <v>0</v>
      </c>
      <c r="H67" s="26">
        <f>'Quadro de Áreas'!$D$27</f>
        <v>0</v>
      </c>
      <c r="I67" s="26">
        <f>(1*F67)+(0.5*G67)+(0.25*H67)</f>
        <v>150</v>
      </c>
      <c r="J67" s="27">
        <f>$I$86</f>
        <v>127.49</v>
      </c>
      <c r="K67" s="117">
        <f t="shared" si="1"/>
        <v>5920.615684791509</v>
      </c>
    </row>
    <row r="68" spans="1:13" x14ac:dyDescent="0.25">
      <c r="A68" s="463"/>
      <c r="B68" s="253" t="s">
        <v>99</v>
      </c>
      <c r="C68" s="247">
        <v>7.0000000000000007E-2</v>
      </c>
      <c r="D68" s="243">
        <v>1</v>
      </c>
      <c r="E68" s="52">
        <f t="shared" si="14"/>
        <v>7.0000000000000007E-2</v>
      </c>
      <c r="F68" s="26">
        <f>'Quadro de Áreas'!$D$13</f>
        <v>150</v>
      </c>
      <c r="G68" s="26">
        <f>'Quadro de Áreas'!$D$20</f>
        <v>0</v>
      </c>
      <c r="H68" s="26">
        <f>'Quadro de Áreas'!$D$27</f>
        <v>0</v>
      </c>
      <c r="I68" s="26">
        <f t="shared" si="15"/>
        <v>150</v>
      </c>
      <c r="J68" s="27">
        <f t="shared" ref="J68" si="16">$I$83</f>
        <v>116.66</v>
      </c>
      <c r="K68" s="117">
        <f t="shared" si="1"/>
        <v>379.23705235818045</v>
      </c>
    </row>
    <row r="69" spans="1:13" x14ac:dyDescent="0.25">
      <c r="A69" s="463"/>
      <c r="B69" s="343"/>
      <c r="C69" s="341"/>
      <c r="D69" s="341"/>
      <c r="E69" s="341"/>
      <c r="F69" s="341"/>
      <c r="G69" s="341"/>
      <c r="H69" s="341"/>
      <c r="I69" s="341"/>
      <c r="J69" s="342" t="s">
        <v>478</v>
      </c>
      <c r="K69" s="116">
        <f>SUM(K67:K68)</f>
        <v>6299.8527371496893</v>
      </c>
      <c r="L69" s="246"/>
    </row>
    <row r="70" spans="1:13" hidden="1" x14ac:dyDescent="0.25">
      <c r="A70" s="312"/>
      <c r="B70" s="343"/>
      <c r="C70" s="247" t="s">
        <v>479</v>
      </c>
      <c r="D70" s="243" t="s">
        <v>244</v>
      </c>
      <c r="E70" s="243" t="s">
        <v>117</v>
      </c>
      <c r="F70" s="243" t="s">
        <v>118</v>
      </c>
      <c r="G70" s="243" t="s">
        <v>480</v>
      </c>
      <c r="H70" s="243" t="s">
        <v>481</v>
      </c>
      <c r="I70" s="243"/>
      <c r="J70" s="243"/>
      <c r="K70" s="116"/>
      <c r="L70" s="246"/>
    </row>
    <row r="71" spans="1:13" hidden="1" x14ac:dyDescent="0.25">
      <c r="A71" s="463" t="s">
        <v>482</v>
      </c>
      <c r="B71" s="251" t="s">
        <v>486</v>
      </c>
      <c r="C71" s="247" t="s">
        <v>114</v>
      </c>
      <c r="D71" s="249"/>
      <c r="E71" s="52"/>
      <c r="F71" s="26">
        <f>E71*D71</f>
        <v>0</v>
      </c>
      <c r="G71" s="26"/>
      <c r="H71" s="26">
        <f>G71*F71</f>
        <v>0</v>
      </c>
      <c r="I71" s="26"/>
      <c r="J71" s="90"/>
      <c r="K71" s="117">
        <f>H71</f>
        <v>0</v>
      </c>
      <c r="L71" s="246"/>
    </row>
    <row r="72" spans="1:13" hidden="1" x14ac:dyDescent="0.25">
      <c r="A72" s="463"/>
      <c r="B72" s="250"/>
      <c r="C72" s="247" t="s">
        <v>479</v>
      </c>
      <c r="D72" s="243" t="s">
        <v>244</v>
      </c>
      <c r="E72" s="52"/>
      <c r="F72" s="26"/>
      <c r="G72" s="243" t="s">
        <v>480</v>
      </c>
      <c r="H72" s="243" t="s">
        <v>481</v>
      </c>
      <c r="I72" s="26"/>
      <c r="J72" s="90"/>
      <c r="K72" s="117"/>
      <c r="L72" s="246"/>
    </row>
    <row r="73" spans="1:13" hidden="1" x14ac:dyDescent="0.25">
      <c r="A73" s="463"/>
      <c r="B73" s="251" t="s">
        <v>487</v>
      </c>
      <c r="C73" s="247" t="s">
        <v>101</v>
      </c>
      <c r="D73" s="249"/>
      <c r="E73" s="52"/>
      <c r="F73" s="26"/>
      <c r="G73" s="26"/>
      <c r="H73" s="26">
        <f>G73*D73</f>
        <v>0</v>
      </c>
      <c r="I73" s="26"/>
      <c r="J73" s="90"/>
      <c r="K73" s="117">
        <f>H73</f>
        <v>0</v>
      </c>
      <c r="L73" s="246">
        <f>D71*E71</f>
        <v>0</v>
      </c>
    </row>
    <row r="74" spans="1:13" hidden="1" x14ac:dyDescent="0.25">
      <c r="A74" s="463"/>
      <c r="B74" s="345"/>
      <c r="C74" s="341"/>
      <c r="D74" s="341"/>
      <c r="E74" s="341"/>
      <c r="F74" s="341"/>
      <c r="G74" s="341"/>
      <c r="H74" s="341"/>
      <c r="I74" s="341"/>
      <c r="J74" s="342" t="s">
        <v>51</v>
      </c>
      <c r="K74" s="116">
        <f>SUM(K71:K73)</f>
        <v>0</v>
      </c>
      <c r="L74" s="246"/>
    </row>
    <row r="75" spans="1:13" hidden="1" x14ac:dyDescent="0.25">
      <c r="A75" s="463" t="s">
        <v>483</v>
      </c>
      <c r="B75" s="252"/>
      <c r="C75" s="247"/>
      <c r="D75" s="243"/>
      <c r="E75" s="52"/>
      <c r="F75" s="26"/>
      <c r="G75" s="243"/>
      <c r="H75" s="243"/>
      <c r="I75" s="26"/>
      <c r="J75" s="90"/>
      <c r="K75" s="117"/>
      <c r="L75" s="246"/>
    </row>
    <row r="76" spans="1:13" hidden="1" x14ac:dyDescent="0.25">
      <c r="A76" s="463"/>
      <c r="B76" s="253" t="s">
        <v>484</v>
      </c>
      <c r="C76" s="68">
        <v>0</v>
      </c>
      <c r="D76" s="243">
        <v>1</v>
      </c>
      <c r="E76" s="52">
        <v>0</v>
      </c>
      <c r="F76" s="26">
        <v>0</v>
      </c>
      <c r="G76" s="26"/>
      <c r="H76" s="26"/>
      <c r="I76" s="26">
        <f>(1*F76)+(0.5*G76)+(0.25*H76)</f>
        <v>0</v>
      </c>
      <c r="J76" s="90">
        <v>0</v>
      </c>
      <c r="K76" s="346"/>
      <c r="L76" s="8" t="e">
        <f>(E76*J76)*((8/I76)^0.4)*I76</f>
        <v>#DIV/0!</v>
      </c>
    </row>
    <row r="77" spans="1:13" hidden="1" x14ac:dyDescent="0.25">
      <c r="A77" s="463"/>
      <c r="B77" s="198"/>
      <c r="C77" s="341"/>
      <c r="D77" s="341"/>
      <c r="E77" s="341"/>
      <c r="F77" s="341"/>
      <c r="G77" s="341"/>
      <c r="H77" s="341"/>
      <c r="I77" s="341"/>
      <c r="J77" s="342" t="s">
        <v>485</v>
      </c>
      <c r="K77" s="116">
        <f>SUM(K75:K76)</f>
        <v>0</v>
      </c>
      <c r="L77" s="246"/>
    </row>
    <row r="78" spans="1:13" ht="16.5" thickBot="1" x14ac:dyDescent="0.3">
      <c r="A78" s="347"/>
      <c r="B78" s="348"/>
      <c r="C78" s="349"/>
      <c r="D78" s="349"/>
      <c r="E78" s="349"/>
      <c r="F78" s="349"/>
      <c r="G78" s="349"/>
      <c r="H78" s="349"/>
      <c r="I78" s="349"/>
      <c r="J78" s="350" t="s">
        <v>54</v>
      </c>
      <c r="K78" s="351">
        <f>ROUND(SUM(K14:K77)/2,2)</f>
        <v>36300.46</v>
      </c>
      <c r="L78" s="246"/>
    </row>
    <row r="79" spans="1:13" x14ac:dyDescent="0.25">
      <c r="B79" s="10"/>
      <c r="C79" s="1"/>
      <c r="D79" s="1"/>
      <c r="E79" s="1"/>
      <c r="F79" s="1"/>
      <c r="G79" s="1"/>
      <c r="H79" s="1"/>
      <c r="I79" s="1"/>
      <c r="J79" s="43"/>
      <c r="M79" s="48"/>
    </row>
    <row r="80" spans="1:13" x14ac:dyDescent="0.25">
      <c r="B80" s="10"/>
      <c r="C80" s="1"/>
      <c r="D80" s="1"/>
      <c r="E80" s="1"/>
      <c r="F80" s="1"/>
      <c r="G80" s="1"/>
      <c r="H80" s="1"/>
      <c r="I80" s="1"/>
      <c r="J80" s="43"/>
    </row>
    <row r="81" spans="1:13" x14ac:dyDescent="0.25">
      <c r="B81" s="10"/>
      <c r="C81" s="1"/>
      <c r="D81" s="1"/>
      <c r="E81" s="1"/>
      <c r="F81" s="1"/>
      <c r="G81" s="1"/>
      <c r="H81" s="1"/>
      <c r="I81" s="1"/>
      <c r="J81" s="43"/>
    </row>
    <row r="82" spans="1:13" ht="16.5" thickBot="1" x14ac:dyDescent="0.3">
      <c r="B82" s="10"/>
      <c r="C82" s="1"/>
      <c r="D82" s="1"/>
      <c r="E82" s="1"/>
      <c r="F82" s="1"/>
      <c r="G82" s="1"/>
      <c r="H82" s="1"/>
      <c r="I82" s="1"/>
      <c r="J82" s="43"/>
      <c r="M82" s="39"/>
    </row>
    <row r="83" spans="1:13" x14ac:dyDescent="0.25">
      <c r="B83" s="10"/>
      <c r="C83" s="1"/>
      <c r="D83" s="1"/>
      <c r="E83" s="1"/>
      <c r="F83" s="1"/>
      <c r="G83" s="1"/>
      <c r="H83" s="254" t="s">
        <v>95</v>
      </c>
      <c r="I83" s="255">
        <f>'Mem. Calc.'!J61</f>
        <v>116.66</v>
      </c>
      <c r="J83" s="43"/>
    </row>
    <row r="84" spans="1:13" ht="16.5" thickBot="1" x14ac:dyDescent="0.3">
      <c r="A84" s="43" t="s">
        <v>60</v>
      </c>
      <c r="C84" s="1"/>
      <c r="D84" s="1"/>
      <c r="E84" s="1"/>
      <c r="F84" s="1"/>
      <c r="G84" s="1"/>
      <c r="H84" s="257" t="s">
        <v>255</v>
      </c>
      <c r="I84" s="258">
        <v>90769</v>
      </c>
      <c r="J84" s="43"/>
    </row>
    <row r="85" spans="1:13" ht="32.25" thickBot="1" x14ac:dyDescent="0.3">
      <c r="A85" s="43" t="s">
        <v>66</v>
      </c>
      <c r="B85" s="256" t="s">
        <v>67</v>
      </c>
      <c r="C85" s="1"/>
      <c r="D85" s="1"/>
      <c r="E85" s="1"/>
      <c r="F85" s="1"/>
      <c r="G85" s="1"/>
      <c r="H85" s="43"/>
      <c r="I85" s="47"/>
      <c r="J85" s="43"/>
    </row>
    <row r="86" spans="1:13" ht="31.5" x14ac:dyDescent="0.25">
      <c r="A86" s="43" t="s">
        <v>68</v>
      </c>
      <c r="B86" s="10" t="s">
        <v>71</v>
      </c>
      <c r="C86" s="1"/>
      <c r="D86" s="1"/>
      <c r="E86" s="1"/>
      <c r="F86" s="1"/>
      <c r="G86" s="1"/>
      <c r="H86" s="254" t="s">
        <v>94</v>
      </c>
      <c r="I86" s="259">
        <f>'Mem. Calc.'!J60</f>
        <v>127.49</v>
      </c>
      <c r="J86" s="43"/>
    </row>
    <row r="87" spans="1:13" ht="32.25" thickBot="1" x14ac:dyDescent="0.3">
      <c r="A87" s="43" t="s">
        <v>103</v>
      </c>
      <c r="B87" s="10" t="s">
        <v>72</v>
      </c>
      <c r="C87" s="1"/>
      <c r="D87" s="1"/>
      <c r="E87" s="1"/>
      <c r="F87" s="1"/>
      <c r="G87" s="1"/>
      <c r="H87" s="257" t="s">
        <v>255</v>
      </c>
      <c r="I87" s="258">
        <v>90778</v>
      </c>
      <c r="J87" s="43"/>
    </row>
    <row r="88" spans="1:13" ht="32.25" thickBot="1" x14ac:dyDescent="0.3">
      <c r="A88" s="43" t="s">
        <v>69</v>
      </c>
      <c r="B88" s="10" t="s">
        <v>70</v>
      </c>
      <c r="C88" s="1"/>
      <c r="D88" s="1"/>
      <c r="E88" s="1"/>
      <c r="F88" s="1"/>
      <c r="G88" s="1"/>
      <c r="H88" s="43"/>
      <c r="I88" s="47"/>
      <c r="J88" s="43"/>
    </row>
    <row r="89" spans="1:13" ht="31.5" x14ac:dyDescent="0.25">
      <c r="A89" s="43"/>
      <c r="B89" s="10"/>
      <c r="C89" s="1"/>
      <c r="D89" s="1"/>
      <c r="E89" s="1"/>
      <c r="F89" s="1"/>
      <c r="G89" s="1"/>
      <c r="H89" s="260" t="s">
        <v>104</v>
      </c>
      <c r="I89" s="259">
        <f>'Mem. Calc.'!J62</f>
        <v>110.73</v>
      </c>
      <c r="J89" s="43"/>
    </row>
    <row r="90" spans="1:13" ht="16.5" thickBot="1" x14ac:dyDescent="0.3">
      <c r="A90" s="43"/>
      <c r="B90" s="10"/>
      <c r="C90" s="1"/>
      <c r="D90" s="1"/>
      <c r="E90" s="1"/>
      <c r="F90" s="1"/>
      <c r="G90" s="1"/>
      <c r="H90" s="257" t="s">
        <v>255</v>
      </c>
      <c r="I90" s="258">
        <v>91677</v>
      </c>
      <c r="J90" s="43"/>
    </row>
    <row r="91" spans="1:13" x14ac:dyDescent="0.25">
      <c r="A91" s="43"/>
      <c r="B91" s="10"/>
      <c r="C91" s="1"/>
      <c r="D91" s="1"/>
      <c r="E91" s="1"/>
      <c r="F91" s="1"/>
      <c r="G91" s="1"/>
      <c r="H91" s="1"/>
      <c r="I91" s="1"/>
      <c r="J91" s="43"/>
    </row>
    <row r="92" spans="1:13" x14ac:dyDescent="0.25">
      <c r="A92" s="43"/>
      <c r="B92" s="10"/>
      <c r="C92" s="1"/>
      <c r="D92" s="1"/>
      <c r="E92" s="1"/>
      <c r="F92" s="1"/>
      <c r="G92" s="1"/>
      <c r="H92" s="1"/>
      <c r="I92" s="1"/>
      <c r="J92" s="43"/>
    </row>
    <row r="93" spans="1:13" x14ac:dyDescent="0.25">
      <c r="A93" s="43"/>
      <c r="B93" s="10"/>
      <c r="C93" s="1"/>
      <c r="D93" s="1"/>
      <c r="E93" s="1"/>
      <c r="F93" s="1"/>
      <c r="G93" s="1"/>
      <c r="H93" s="1"/>
      <c r="I93" s="1"/>
      <c r="J93" s="43"/>
    </row>
    <row r="94" spans="1:13" x14ac:dyDescent="0.25">
      <c r="A94" s="43" t="s">
        <v>73</v>
      </c>
      <c r="B94" s="10"/>
      <c r="C94" s="1"/>
      <c r="D94" s="1"/>
      <c r="E94" s="1"/>
      <c r="F94" s="1"/>
      <c r="G94" s="1"/>
      <c r="H94" s="1"/>
      <c r="I94" s="1"/>
      <c r="J94" s="43"/>
    </row>
    <row r="95" spans="1:13" x14ac:dyDescent="0.25">
      <c r="A95" s="43" t="s">
        <v>74</v>
      </c>
      <c r="B95" s="261">
        <v>1</v>
      </c>
      <c r="C95" s="1"/>
      <c r="D95" s="1"/>
      <c r="E95" s="1"/>
      <c r="F95" s="1"/>
      <c r="G95" s="1"/>
      <c r="H95" s="1"/>
      <c r="I95" s="1"/>
      <c r="J95" s="43"/>
    </row>
    <row r="96" spans="1:13" x14ac:dyDescent="0.25">
      <c r="A96" s="43" t="s">
        <v>75</v>
      </c>
      <c r="B96" s="261">
        <v>0.5</v>
      </c>
      <c r="C96" s="1"/>
      <c r="D96" s="1"/>
      <c r="E96" s="1"/>
      <c r="F96" s="1"/>
      <c r="G96" s="1"/>
      <c r="H96" s="1"/>
      <c r="I96" s="1"/>
      <c r="J96" s="43"/>
    </row>
    <row r="97" spans="1:10" x14ac:dyDescent="0.25">
      <c r="A97" s="43" t="s">
        <v>76</v>
      </c>
      <c r="B97" s="262">
        <v>0.25</v>
      </c>
      <c r="C97" s="1"/>
      <c r="D97" s="1"/>
      <c r="E97" s="1"/>
      <c r="F97" s="1"/>
      <c r="G97" s="1"/>
      <c r="H97" s="1"/>
      <c r="I97" s="1"/>
      <c r="J97" s="43"/>
    </row>
    <row r="98" spans="1:10" x14ac:dyDescent="0.25">
      <c r="A98" s="43"/>
      <c r="B98" s="10"/>
      <c r="C98" s="1"/>
      <c r="D98" s="1"/>
      <c r="E98" s="1"/>
      <c r="F98" s="1"/>
      <c r="G98" s="1"/>
      <c r="H98" s="1"/>
      <c r="I98" s="1"/>
      <c r="J98" s="43"/>
    </row>
    <row r="99" spans="1:10" x14ac:dyDescent="0.25">
      <c r="A99" s="43" t="s">
        <v>60</v>
      </c>
      <c r="B99" s="10"/>
      <c r="C99" s="1"/>
      <c r="D99" s="1"/>
      <c r="E99" s="1"/>
      <c r="F99" s="1"/>
      <c r="G99" s="1"/>
      <c r="H99" s="1"/>
      <c r="I99" s="1"/>
      <c r="J99" s="43"/>
    </row>
    <row r="100" spans="1:10" ht="31.5" x14ac:dyDescent="0.25">
      <c r="A100" s="263" t="s">
        <v>77</v>
      </c>
      <c r="B100" s="264" t="s">
        <v>52</v>
      </c>
      <c r="C100" s="1"/>
      <c r="D100" s="1"/>
      <c r="E100" s="1"/>
      <c r="F100" s="1"/>
      <c r="G100" s="1"/>
      <c r="H100" s="1"/>
      <c r="I100" s="1"/>
      <c r="J100" s="43"/>
    </row>
    <row r="101" spans="1:10" ht="18.75" x14ac:dyDescent="0.25">
      <c r="A101" s="263" t="s">
        <v>78</v>
      </c>
      <c r="B101" s="264" t="s">
        <v>80</v>
      </c>
      <c r="C101" s="1"/>
      <c r="D101" s="1"/>
      <c r="E101" s="1"/>
      <c r="F101" s="1"/>
      <c r="G101" s="1"/>
      <c r="H101" s="1"/>
      <c r="I101" s="1"/>
      <c r="J101" s="43"/>
    </row>
    <row r="102" spans="1:10" ht="101.45" customHeight="1" x14ac:dyDescent="0.25">
      <c r="A102" s="263" t="s">
        <v>79</v>
      </c>
      <c r="B102" s="264" t="s">
        <v>112</v>
      </c>
      <c r="C102" s="1"/>
      <c r="D102" s="1"/>
      <c r="E102" s="1"/>
      <c r="F102" s="1"/>
      <c r="G102" s="1"/>
      <c r="H102" s="1"/>
      <c r="I102" s="1"/>
      <c r="J102" s="43"/>
    </row>
    <row r="103" spans="1:10" x14ac:dyDescent="0.25">
      <c r="F103" s="265"/>
    </row>
  </sheetData>
  <mergeCells count="14">
    <mergeCell ref="A71:A74"/>
    <mergeCell ref="A75:A77"/>
    <mergeCell ref="A12:K12"/>
    <mergeCell ref="A14:A19"/>
    <mergeCell ref="A21:A34"/>
    <mergeCell ref="A35:A56"/>
    <mergeCell ref="A57:A66"/>
    <mergeCell ref="A67:A69"/>
    <mergeCell ref="A11:K11"/>
    <mergeCell ref="A6:K6"/>
    <mergeCell ref="A7:K7"/>
    <mergeCell ref="A8:K8"/>
    <mergeCell ref="A9:H9"/>
    <mergeCell ref="A10:K10"/>
  </mergeCells>
  <pageMargins left="0.25" right="0.25" top="0.75" bottom="0.75" header="0.3" footer="0.3"/>
  <pageSetup paperSize="9" scale="3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4C5E-E2FE-40AD-B055-58EAF56EB859}">
  <dimension ref="A2:K36"/>
  <sheetViews>
    <sheetView view="pageBreakPreview" zoomScale="60" zoomScaleNormal="100" workbookViewId="0">
      <selection activeCell="D29" sqref="D29"/>
    </sheetView>
  </sheetViews>
  <sheetFormatPr defaultRowHeight="15" x14ac:dyDescent="0.25"/>
  <cols>
    <col min="1" max="1" width="6.85546875" style="367" bestFit="1" customWidth="1"/>
    <col min="2" max="2" width="16.42578125" style="367" bestFit="1" customWidth="1"/>
    <col min="3" max="3" width="16" style="367" bestFit="1" customWidth="1"/>
    <col min="4" max="4" width="11.140625" style="367" bestFit="1" customWidth="1"/>
    <col min="5" max="5" width="20.5703125" style="367" bestFit="1" customWidth="1"/>
    <col min="6" max="6" width="25.42578125" style="367" customWidth="1"/>
    <col min="7" max="16384" width="9.140625" style="367"/>
  </cols>
  <sheetData>
    <row r="2" spans="1:11" ht="15.75" thickBot="1" x14ac:dyDescent="0.3"/>
    <row r="3" spans="1:11" x14ac:dyDescent="0.25">
      <c r="A3" s="385"/>
      <c r="B3" s="386"/>
      <c r="C3" s="386"/>
      <c r="D3" s="386"/>
      <c r="E3" s="386"/>
      <c r="F3" s="387"/>
    </row>
    <row r="4" spans="1:11" ht="15.75" x14ac:dyDescent="0.25">
      <c r="A4" s="122"/>
      <c r="B4" s="10"/>
      <c r="C4" s="10"/>
      <c r="D4" s="10"/>
      <c r="E4" s="10"/>
      <c r="F4" s="388"/>
      <c r="G4" s="10"/>
      <c r="H4" s="10"/>
      <c r="I4" s="10"/>
      <c r="J4" s="10"/>
      <c r="K4" s="10"/>
    </row>
    <row r="5" spans="1:11" ht="15.75" x14ac:dyDescent="0.25">
      <c r="A5" s="122"/>
      <c r="B5" s="10"/>
      <c r="C5" s="10"/>
      <c r="D5" s="10"/>
      <c r="E5" s="10"/>
      <c r="F5" s="388"/>
      <c r="G5" s="10"/>
      <c r="H5" s="10"/>
      <c r="I5" s="10"/>
      <c r="J5" s="10"/>
      <c r="K5" s="10"/>
    </row>
    <row r="6" spans="1:11" ht="15.75" x14ac:dyDescent="0.25">
      <c r="A6" s="122"/>
      <c r="B6" s="10"/>
      <c r="C6" s="10"/>
      <c r="D6" s="10"/>
      <c r="E6" s="10"/>
      <c r="F6" s="388"/>
      <c r="G6" s="10"/>
      <c r="H6" s="10"/>
      <c r="I6" s="10"/>
      <c r="J6" s="10"/>
      <c r="K6" s="10"/>
    </row>
    <row r="7" spans="1:11" ht="15.75" x14ac:dyDescent="0.25">
      <c r="A7" s="122"/>
      <c r="B7" s="10"/>
      <c r="C7" s="10"/>
      <c r="D7" s="10"/>
      <c r="E7" s="10"/>
      <c r="F7" s="388"/>
      <c r="G7" s="10"/>
      <c r="H7" s="10"/>
      <c r="I7" s="10"/>
      <c r="J7" s="10"/>
      <c r="K7" s="10"/>
    </row>
    <row r="8" spans="1:11" ht="15.75" x14ac:dyDescent="0.25">
      <c r="A8" s="122"/>
      <c r="B8" s="10"/>
      <c r="C8" s="10"/>
      <c r="D8" s="10"/>
      <c r="E8" s="10"/>
      <c r="F8" s="388"/>
      <c r="G8" s="10"/>
      <c r="H8" s="10"/>
      <c r="I8" s="10"/>
      <c r="J8" s="10"/>
      <c r="K8" s="10"/>
    </row>
    <row r="9" spans="1:11" ht="15.75" customHeight="1" x14ac:dyDescent="0.25">
      <c r="A9" s="490" t="s">
        <v>7</v>
      </c>
      <c r="B9" s="394"/>
      <c r="C9" s="394"/>
      <c r="D9" s="394"/>
      <c r="E9" s="394"/>
      <c r="F9" s="491"/>
      <c r="G9" s="10"/>
      <c r="H9" s="10"/>
      <c r="I9" s="10"/>
      <c r="J9" s="10"/>
      <c r="K9" s="10"/>
    </row>
    <row r="10" spans="1:11" ht="15.75" customHeight="1" x14ac:dyDescent="0.25">
      <c r="A10" s="490" t="s">
        <v>8</v>
      </c>
      <c r="B10" s="394"/>
      <c r="C10" s="394"/>
      <c r="D10" s="394"/>
      <c r="E10" s="394"/>
      <c r="F10" s="491"/>
      <c r="G10" s="10"/>
      <c r="H10" s="10"/>
      <c r="I10" s="10"/>
      <c r="J10" s="10"/>
      <c r="K10" s="10"/>
    </row>
    <row r="11" spans="1:11" ht="15.75" customHeight="1" x14ac:dyDescent="0.25">
      <c r="A11" s="490" t="s">
        <v>537</v>
      </c>
      <c r="B11" s="394"/>
      <c r="C11" s="394"/>
      <c r="D11" s="394"/>
      <c r="E11" s="394"/>
      <c r="F11" s="491"/>
      <c r="G11" s="10"/>
      <c r="H11" s="10"/>
      <c r="I11" s="10"/>
      <c r="J11" s="10"/>
      <c r="K11" s="10"/>
    </row>
    <row r="12" spans="1:11" ht="16.5" thickBot="1" x14ac:dyDescent="0.3">
      <c r="A12" s="389"/>
      <c r="B12" s="390"/>
      <c r="C12" s="390"/>
      <c r="D12" s="390"/>
      <c r="E12" s="390"/>
      <c r="F12" s="391"/>
      <c r="G12" s="10"/>
      <c r="H12" s="10"/>
      <c r="I12" s="10"/>
      <c r="J12" s="10"/>
      <c r="K12" s="10"/>
    </row>
    <row r="13" spans="1:11" ht="15.75" customHeight="1" x14ac:dyDescent="0.25">
      <c r="A13" s="487" t="s">
        <v>535</v>
      </c>
      <c r="B13" s="488"/>
      <c r="C13" s="488"/>
      <c r="D13" s="488"/>
      <c r="E13" s="488"/>
      <c r="F13" s="489"/>
      <c r="G13" s="74"/>
      <c r="H13" s="74"/>
      <c r="I13" s="74"/>
      <c r="J13" s="74"/>
      <c r="K13" s="74"/>
    </row>
    <row r="14" spans="1:11" ht="15.75" x14ac:dyDescent="0.25">
      <c r="A14" s="492" t="s">
        <v>536</v>
      </c>
      <c r="B14" s="493"/>
      <c r="C14" s="493"/>
      <c r="D14" s="493"/>
      <c r="E14" s="493"/>
      <c r="F14" s="494"/>
      <c r="G14" s="75"/>
      <c r="H14" s="75"/>
      <c r="I14" s="75"/>
      <c r="J14" s="75"/>
      <c r="K14" s="75"/>
    </row>
    <row r="15" spans="1:11" ht="15.75" x14ac:dyDescent="0.25">
      <c r="A15" s="369"/>
      <c r="B15" s="370"/>
      <c r="C15" s="370"/>
      <c r="D15" s="370"/>
      <c r="E15" s="370"/>
      <c r="F15" s="371"/>
      <c r="G15" s="75"/>
      <c r="H15" s="75"/>
      <c r="I15" s="75"/>
      <c r="J15" s="75"/>
      <c r="K15" s="75"/>
    </row>
    <row r="16" spans="1:11" x14ac:dyDescent="0.25">
      <c r="A16" s="372" t="s">
        <v>0</v>
      </c>
      <c r="B16" s="373" t="s">
        <v>538</v>
      </c>
      <c r="C16" s="373" t="s">
        <v>539</v>
      </c>
      <c r="D16" s="373" t="s">
        <v>540</v>
      </c>
      <c r="E16" s="373" t="s">
        <v>541</v>
      </c>
      <c r="F16" s="374" t="s">
        <v>542</v>
      </c>
    </row>
    <row r="17" spans="1:6" x14ac:dyDescent="0.25">
      <c r="A17" s="375">
        <v>1</v>
      </c>
      <c r="B17" s="376" t="s">
        <v>544</v>
      </c>
      <c r="C17" s="377">
        <v>1</v>
      </c>
      <c r="D17" s="377" t="s">
        <v>26</v>
      </c>
      <c r="E17" s="378">
        <v>13439.797604476726</v>
      </c>
      <c r="F17" s="379">
        <f t="shared" ref="F17:F19" si="0">E17*C17</f>
        <v>13439.797604476726</v>
      </c>
    </row>
    <row r="18" spans="1:6" x14ac:dyDescent="0.25">
      <c r="A18" s="375">
        <v>2</v>
      </c>
      <c r="B18" s="376" t="s">
        <v>545</v>
      </c>
      <c r="C18" s="377">
        <v>1</v>
      </c>
      <c r="D18" s="377" t="s">
        <v>26</v>
      </c>
      <c r="E18" s="378">
        <v>8998.9968300234286</v>
      </c>
      <c r="F18" s="379">
        <f t="shared" si="0"/>
        <v>8998.9968300234286</v>
      </c>
    </row>
    <row r="19" spans="1:6" ht="15.75" thickBot="1" x14ac:dyDescent="0.3">
      <c r="A19" s="375">
        <v>3</v>
      </c>
      <c r="B19" s="381" t="s">
        <v>547</v>
      </c>
      <c r="C19" s="382">
        <v>1</v>
      </c>
      <c r="D19" s="382" t="s">
        <v>26</v>
      </c>
      <c r="E19" s="383">
        <v>6299.8527371496893</v>
      </c>
      <c r="F19" s="384">
        <f t="shared" si="0"/>
        <v>6299.8527371496893</v>
      </c>
    </row>
    <row r="20" spans="1:6" x14ac:dyDescent="0.25">
      <c r="A20" s="375">
        <v>4</v>
      </c>
      <c r="B20" s="376" t="s">
        <v>543</v>
      </c>
      <c r="C20" s="377">
        <v>1</v>
      </c>
      <c r="D20" s="377" t="s">
        <v>26</v>
      </c>
      <c r="E20" s="378">
        <v>6121.9695594963405</v>
      </c>
      <c r="F20" s="379">
        <f>E20*C20</f>
        <v>6121.9695594963405</v>
      </c>
    </row>
    <row r="21" spans="1:6" ht="15.75" thickBot="1" x14ac:dyDescent="0.3">
      <c r="A21" s="380">
        <v>5</v>
      </c>
      <c r="B21" s="381" t="s">
        <v>546</v>
      </c>
      <c r="C21" s="382">
        <v>1</v>
      </c>
      <c r="D21" s="382" t="s">
        <v>26</v>
      </c>
      <c r="E21" s="383">
        <v>1439.8394928037485</v>
      </c>
      <c r="F21" s="384">
        <f t="shared" ref="F21" si="1">E21*C21</f>
        <v>1439.8394928037485</v>
      </c>
    </row>
    <row r="23" spans="1:6" x14ac:dyDescent="0.25">
      <c r="F23" s="368"/>
    </row>
    <row r="31" spans="1:6" x14ac:dyDescent="0.25">
      <c r="A31" s="372" t="s">
        <v>0</v>
      </c>
      <c r="B31" s="373" t="s">
        <v>538</v>
      </c>
      <c r="C31" s="373" t="s">
        <v>539</v>
      </c>
      <c r="D31" s="373" t="s">
        <v>540</v>
      </c>
      <c r="E31" s="373" t="s">
        <v>541</v>
      </c>
      <c r="F31" s="374" t="s">
        <v>542</v>
      </c>
    </row>
    <row r="32" spans="1:6" x14ac:dyDescent="0.25">
      <c r="A32" s="375">
        <v>1</v>
      </c>
      <c r="B32" s="376" t="s">
        <v>543</v>
      </c>
      <c r="C32" s="377">
        <v>1</v>
      </c>
      <c r="D32" s="377" t="s">
        <v>26</v>
      </c>
      <c r="E32" s="378">
        <v>6121.9695594963405</v>
      </c>
      <c r="F32" s="379">
        <f>E32*C32</f>
        <v>6121.9695594963405</v>
      </c>
    </row>
    <row r="33" spans="1:6" x14ac:dyDescent="0.25">
      <c r="A33" s="375">
        <v>2</v>
      </c>
      <c r="B33" s="376" t="s">
        <v>544</v>
      </c>
      <c r="C33" s="377">
        <v>1</v>
      </c>
      <c r="D33" s="377" t="s">
        <v>26</v>
      </c>
      <c r="E33" s="378">
        <v>13439.797604476726</v>
      </c>
      <c r="F33" s="379">
        <f t="shared" ref="F33:F36" si="2">E33*C33</f>
        <v>13439.797604476726</v>
      </c>
    </row>
    <row r="34" spans="1:6" x14ac:dyDescent="0.25">
      <c r="A34" s="375">
        <v>3</v>
      </c>
      <c r="B34" s="376" t="s">
        <v>545</v>
      </c>
      <c r="C34" s="377">
        <v>1</v>
      </c>
      <c r="D34" s="377" t="s">
        <v>26</v>
      </c>
      <c r="E34" s="378">
        <v>8998.9968300234286</v>
      </c>
      <c r="F34" s="379">
        <f t="shared" si="2"/>
        <v>8998.9968300234286</v>
      </c>
    </row>
    <row r="35" spans="1:6" x14ac:dyDescent="0.25">
      <c r="A35" s="375">
        <v>4</v>
      </c>
      <c r="B35" s="376" t="s">
        <v>546</v>
      </c>
      <c r="C35" s="377">
        <v>1</v>
      </c>
      <c r="D35" s="377" t="s">
        <v>26</v>
      </c>
      <c r="E35" s="378">
        <v>1439.8394928037485</v>
      </c>
      <c r="F35" s="379">
        <f t="shared" si="2"/>
        <v>1439.8394928037485</v>
      </c>
    </row>
    <row r="36" spans="1:6" ht="15.75" thickBot="1" x14ac:dyDescent="0.3">
      <c r="A36" s="380">
        <v>5</v>
      </c>
      <c r="B36" s="381" t="s">
        <v>547</v>
      </c>
      <c r="C36" s="382">
        <v>1</v>
      </c>
      <c r="D36" s="382" t="s">
        <v>26</v>
      </c>
      <c r="E36" s="383">
        <v>6299.8527371496893</v>
      </c>
      <c r="F36" s="384">
        <f t="shared" si="2"/>
        <v>6299.8527371496893</v>
      </c>
    </row>
  </sheetData>
  <mergeCells count="5">
    <mergeCell ref="A13:F13"/>
    <mergeCell ref="A11:F11"/>
    <mergeCell ref="A10:F10"/>
    <mergeCell ref="A9:F9"/>
    <mergeCell ref="A14:F14"/>
  </mergeCells>
  <pageMargins left="0.511811024" right="0.511811024" top="0.78740157499999996" bottom="0.78740157499999996" header="0.31496062000000002" footer="0.31496062000000002"/>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A894E-4B4B-4E72-9A84-125413A40B5A}">
  <dimension ref="A1:J27"/>
  <sheetViews>
    <sheetView workbookViewId="0">
      <selection activeCell="A13" sqref="A13:C13"/>
    </sheetView>
  </sheetViews>
  <sheetFormatPr defaultColWidth="9.140625" defaultRowHeight="12.75" x14ac:dyDescent="0.2"/>
  <cols>
    <col min="1" max="1" width="41.42578125" style="224" customWidth="1"/>
    <col min="2" max="2" width="7.140625" style="224" customWidth="1"/>
    <col min="3" max="3" width="11.28515625" style="224" customWidth="1"/>
    <col min="4" max="4" width="12.42578125" style="224" bestFit="1" customWidth="1"/>
    <col min="5" max="7" width="11.7109375" style="224" customWidth="1"/>
    <col min="8" max="8" width="14.28515625" style="224" customWidth="1"/>
    <col min="9" max="9" width="11.7109375" style="224" customWidth="1"/>
    <col min="10" max="10" width="15.28515625" style="224" customWidth="1"/>
    <col min="11" max="11" width="5.7109375" style="224" customWidth="1"/>
    <col min="12" max="16384" width="9.140625" style="224"/>
  </cols>
  <sheetData>
    <row r="1" spans="1:10" ht="78.95" customHeight="1" x14ac:dyDescent="0.2">
      <c r="A1" s="10"/>
      <c r="B1" s="10"/>
      <c r="C1" s="10"/>
      <c r="D1" s="10"/>
      <c r="E1" s="10"/>
      <c r="F1" s="10"/>
      <c r="G1" s="10"/>
    </row>
    <row r="2" spans="1:10" ht="15.6" customHeight="1" x14ac:dyDescent="0.2">
      <c r="A2" s="394" t="s">
        <v>7</v>
      </c>
      <c r="B2" s="394"/>
      <c r="C2" s="394"/>
      <c r="D2" s="394"/>
      <c r="E2" s="10"/>
      <c r="F2" s="10"/>
      <c r="G2" s="10"/>
    </row>
    <row r="3" spans="1:10" ht="15.6" customHeight="1" x14ac:dyDescent="0.2">
      <c r="A3" s="394" t="s">
        <v>8</v>
      </c>
      <c r="B3" s="394"/>
      <c r="C3" s="394"/>
      <c r="D3" s="394"/>
      <c r="E3" s="10"/>
      <c r="F3" s="10"/>
      <c r="G3" s="10"/>
    </row>
    <row r="4" spans="1:10" ht="15.75" x14ac:dyDescent="0.2">
      <c r="A4" s="394" t="str">
        <f>'Planilha Orçamentária'!B8</f>
        <v>GRUPO TÉCNICO EM EDIFICAÇÕES - GTED/SR/PF/PI</v>
      </c>
      <c r="B4" s="394"/>
      <c r="C4" s="394"/>
      <c r="D4" s="394"/>
      <c r="E4" s="10"/>
      <c r="F4" s="10"/>
      <c r="G4" s="10"/>
    </row>
    <row r="5" spans="1:10" ht="15.75" x14ac:dyDescent="0.2">
      <c r="A5" s="16"/>
      <c r="B5" s="16"/>
      <c r="C5" s="16"/>
      <c r="D5" s="16"/>
      <c r="E5" s="10"/>
      <c r="F5" s="10"/>
      <c r="G5" s="10"/>
    </row>
    <row r="6" spans="1:10" ht="15.75" x14ac:dyDescent="0.2">
      <c r="A6" s="397" t="s">
        <v>440</v>
      </c>
      <c r="B6" s="397"/>
      <c r="C6" s="397"/>
      <c r="D6" s="397"/>
      <c r="E6" s="74"/>
      <c r="F6" s="74"/>
      <c r="G6" s="74"/>
    </row>
    <row r="8" spans="1:10" ht="13.5" thickBot="1" x14ac:dyDescent="0.25">
      <c r="A8" s="224" t="s">
        <v>441</v>
      </c>
    </row>
    <row r="9" spans="1:10" ht="13.5" thickBot="1" x14ac:dyDescent="0.25">
      <c r="A9" s="504" t="s">
        <v>442</v>
      </c>
      <c r="B9" s="505"/>
      <c r="C9" s="505"/>
      <c r="D9" s="506"/>
    </row>
    <row r="10" spans="1:10" x14ac:dyDescent="0.2">
      <c r="A10" s="498" t="s">
        <v>443</v>
      </c>
      <c r="B10" s="500" t="s">
        <v>244</v>
      </c>
      <c r="C10" s="502" t="s">
        <v>444</v>
      </c>
      <c r="D10" s="503"/>
      <c r="E10" s="225"/>
      <c r="F10" s="225"/>
      <c r="G10" s="225"/>
      <c r="H10" s="225"/>
      <c r="I10" s="225"/>
      <c r="J10" s="225"/>
    </row>
    <row r="11" spans="1:10" ht="13.5" thickBot="1" x14ac:dyDescent="0.25">
      <c r="A11" s="499"/>
      <c r="B11" s="501"/>
      <c r="C11" s="226" t="s">
        <v>445</v>
      </c>
      <c r="D11" s="227" t="s">
        <v>118</v>
      </c>
      <c r="E11" s="228"/>
      <c r="F11" s="228"/>
      <c r="G11" s="228"/>
      <c r="H11" s="228"/>
      <c r="I11" s="228"/>
      <c r="J11" s="228"/>
    </row>
    <row r="12" spans="1:10" ht="38.450000000000003" customHeight="1" thickBot="1" x14ac:dyDescent="0.25">
      <c r="A12" s="234" t="s">
        <v>514</v>
      </c>
      <c r="B12" s="230">
        <v>1</v>
      </c>
      <c r="C12" s="231">
        <v>150</v>
      </c>
      <c r="D12" s="232">
        <f t="shared" ref="D12" si="0">B12*C12</f>
        <v>150</v>
      </c>
      <c r="E12" s="233"/>
      <c r="F12" s="233"/>
      <c r="G12" s="233"/>
      <c r="H12" s="233"/>
      <c r="I12" s="233"/>
      <c r="J12" s="233"/>
    </row>
    <row r="13" spans="1:10" ht="13.5" thickBot="1" x14ac:dyDescent="0.25">
      <c r="A13" s="495" t="s">
        <v>446</v>
      </c>
      <c r="B13" s="496"/>
      <c r="C13" s="497"/>
      <c r="D13" s="237">
        <f>SUM(D12:D12)</f>
        <v>150</v>
      </c>
      <c r="E13" s="233"/>
      <c r="F13" s="233"/>
      <c r="G13" s="233"/>
      <c r="H13" s="233"/>
      <c r="I13" s="233"/>
      <c r="J13" s="233"/>
    </row>
    <row r="14" spans="1:10" ht="13.5" thickBot="1" x14ac:dyDescent="0.25">
      <c r="A14" s="239"/>
      <c r="B14" s="239"/>
      <c r="C14" s="239"/>
      <c r="D14" s="238"/>
      <c r="E14" s="233"/>
      <c r="F14" s="233"/>
      <c r="G14" s="233"/>
      <c r="H14" s="233"/>
      <c r="I14" s="233"/>
      <c r="J14" s="233"/>
    </row>
    <row r="15" spans="1:10" ht="13.5" thickBot="1" x14ac:dyDescent="0.25">
      <c r="A15" s="504" t="s">
        <v>447</v>
      </c>
      <c r="B15" s="505"/>
      <c r="C15" s="505"/>
      <c r="D15" s="506"/>
      <c r="F15" s="233"/>
      <c r="G15" s="233"/>
      <c r="H15" s="233"/>
      <c r="I15" s="233"/>
      <c r="J15" s="233"/>
    </row>
    <row r="16" spans="1:10" x14ac:dyDescent="0.2">
      <c r="A16" s="498" t="s">
        <v>443</v>
      </c>
      <c r="B16" s="500" t="s">
        <v>244</v>
      </c>
      <c r="C16" s="502" t="s">
        <v>444</v>
      </c>
      <c r="D16" s="503"/>
      <c r="F16" s="233"/>
      <c r="G16" s="233"/>
      <c r="H16" s="233"/>
      <c r="I16" s="233"/>
      <c r="J16" s="233"/>
    </row>
    <row r="17" spans="1:10" ht="13.5" thickBot="1" x14ac:dyDescent="0.25">
      <c r="A17" s="499"/>
      <c r="B17" s="501"/>
      <c r="C17" s="226" t="s">
        <v>445</v>
      </c>
      <c r="D17" s="227" t="s">
        <v>118</v>
      </c>
      <c r="F17" s="233"/>
      <c r="G17" s="233"/>
      <c r="H17" s="233"/>
      <c r="I17" s="233"/>
      <c r="J17" s="233"/>
    </row>
    <row r="18" spans="1:10" x14ac:dyDescent="0.2">
      <c r="A18" s="229"/>
      <c r="B18" s="235"/>
      <c r="C18" s="236"/>
      <c r="D18" s="232">
        <f>B18*C18</f>
        <v>0</v>
      </c>
      <c r="F18" s="233"/>
      <c r="G18" s="233"/>
      <c r="H18" s="233"/>
      <c r="I18" s="233"/>
      <c r="J18" s="233"/>
    </row>
    <row r="19" spans="1:10" ht="13.5" thickBot="1" x14ac:dyDescent="0.25">
      <c r="A19" s="229"/>
      <c r="B19" s="235"/>
      <c r="C19" s="236"/>
      <c r="D19" s="232">
        <f>B19*C19</f>
        <v>0</v>
      </c>
      <c r="F19" s="233"/>
      <c r="G19" s="233"/>
      <c r="H19" s="233"/>
      <c r="I19" s="233"/>
      <c r="J19" s="233"/>
    </row>
    <row r="20" spans="1:10" ht="13.5" thickBot="1" x14ac:dyDescent="0.25">
      <c r="A20" s="495" t="s">
        <v>448</v>
      </c>
      <c r="B20" s="496"/>
      <c r="C20" s="497"/>
      <c r="D20" s="237">
        <f>SUM(D18:D19)</f>
        <v>0</v>
      </c>
      <c r="F20" s="233"/>
      <c r="G20" s="233"/>
      <c r="H20" s="233"/>
      <c r="I20" s="233"/>
      <c r="J20" s="233"/>
    </row>
    <row r="21" spans="1:10" ht="13.5" thickBot="1" x14ac:dyDescent="0.25">
      <c r="F21" s="233"/>
      <c r="G21" s="233"/>
      <c r="H21" s="233"/>
      <c r="I21" s="233"/>
      <c r="J21" s="233"/>
    </row>
    <row r="22" spans="1:10" ht="13.5" thickBot="1" x14ac:dyDescent="0.25">
      <c r="A22" s="504" t="s">
        <v>449</v>
      </c>
      <c r="B22" s="505"/>
      <c r="C22" s="505"/>
      <c r="D22" s="506"/>
      <c r="F22" s="233"/>
      <c r="G22" s="233"/>
      <c r="H22" s="233"/>
      <c r="I22" s="233"/>
      <c r="J22" s="233"/>
    </row>
    <row r="23" spans="1:10" x14ac:dyDescent="0.2">
      <c r="A23" s="498" t="s">
        <v>443</v>
      </c>
      <c r="B23" s="500" t="s">
        <v>244</v>
      </c>
      <c r="C23" s="502" t="s">
        <v>444</v>
      </c>
      <c r="D23" s="503"/>
      <c r="F23" s="233"/>
      <c r="G23" s="233"/>
      <c r="H23" s="233"/>
      <c r="I23" s="233"/>
      <c r="J23" s="233"/>
    </row>
    <row r="24" spans="1:10" ht="13.5" thickBot="1" x14ac:dyDescent="0.25">
      <c r="A24" s="499"/>
      <c r="B24" s="501"/>
      <c r="C24" s="226" t="s">
        <v>445</v>
      </c>
      <c r="D24" s="227" t="s">
        <v>118</v>
      </c>
      <c r="F24" s="233"/>
      <c r="G24" s="233"/>
      <c r="H24" s="233"/>
      <c r="I24" s="233"/>
      <c r="J24" s="233"/>
    </row>
    <row r="25" spans="1:10" x14ac:dyDescent="0.2">
      <c r="A25" s="229"/>
      <c r="B25" s="230">
        <v>1</v>
      </c>
      <c r="C25" s="240"/>
      <c r="D25" s="232">
        <f>B25*C25</f>
        <v>0</v>
      </c>
      <c r="F25" s="233"/>
      <c r="G25" s="233"/>
      <c r="H25" s="233"/>
      <c r="I25" s="233"/>
      <c r="J25" s="233"/>
    </row>
    <row r="26" spans="1:10" ht="13.5" thickBot="1" x14ac:dyDescent="0.25">
      <c r="A26" s="229"/>
      <c r="B26" s="235"/>
      <c r="C26" s="236"/>
      <c r="D26" s="232">
        <f>B26*C26</f>
        <v>0</v>
      </c>
      <c r="F26" s="233"/>
      <c r="G26" s="233"/>
      <c r="H26" s="233"/>
      <c r="I26" s="233"/>
      <c r="J26" s="233"/>
    </row>
    <row r="27" spans="1:10" ht="13.5" thickBot="1" x14ac:dyDescent="0.25">
      <c r="A27" s="495" t="s">
        <v>450</v>
      </c>
      <c r="B27" s="496"/>
      <c r="C27" s="497"/>
      <c r="D27" s="237">
        <f>SUM(D25:D26)</f>
        <v>0</v>
      </c>
    </row>
  </sheetData>
  <mergeCells count="19">
    <mergeCell ref="C10:D10"/>
    <mergeCell ref="A13:C13"/>
    <mergeCell ref="A15:D15"/>
    <mergeCell ref="A2:D2"/>
    <mergeCell ref="A4:D4"/>
    <mergeCell ref="A6:D6"/>
    <mergeCell ref="A27:C27"/>
    <mergeCell ref="A3:D3"/>
    <mergeCell ref="A16:A17"/>
    <mergeCell ref="B16:B17"/>
    <mergeCell ref="C16:D16"/>
    <mergeCell ref="A20:C20"/>
    <mergeCell ref="A22:D22"/>
    <mergeCell ref="A23:A24"/>
    <mergeCell ref="B23:B24"/>
    <mergeCell ref="C23:D23"/>
    <mergeCell ref="A9:D9"/>
    <mergeCell ref="A10:A11"/>
    <mergeCell ref="B10:B11"/>
  </mergeCells>
  <pageMargins left="0.511811024" right="0.511811024" top="0.78740157499999996" bottom="0.78740157499999996" header="0.31496062000000002" footer="0.3149606200000000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6E3D5-4BE1-4645-8CFF-407D5299A28F}">
  <dimension ref="A1:M54"/>
  <sheetViews>
    <sheetView workbookViewId="0">
      <selection activeCell="P40" sqref="P40"/>
    </sheetView>
  </sheetViews>
  <sheetFormatPr defaultRowHeight="15" x14ac:dyDescent="0.25"/>
  <cols>
    <col min="1" max="2" width="10.85546875" bestFit="1" customWidth="1"/>
    <col min="3" max="3" width="14.42578125" bestFit="1" customWidth="1"/>
    <col min="4" max="4" width="65.42578125" bestFit="1" customWidth="1"/>
    <col min="7" max="8" width="14.140625" bestFit="1" customWidth="1"/>
    <col min="9" max="9" width="14.140625" customWidth="1"/>
    <col min="10" max="10" width="14.140625" bestFit="1" customWidth="1"/>
    <col min="11" max="11" width="14.140625" customWidth="1"/>
    <col min="12" max="13" width="14.140625" bestFit="1" customWidth="1"/>
  </cols>
  <sheetData>
    <row r="1" spans="1:13" ht="19.5" customHeight="1" x14ac:dyDescent="0.25">
      <c r="A1" s="163"/>
      <c r="B1" s="163"/>
      <c r="C1" s="163"/>
      <c r="D1" s="163" t="s">
        <v>230</v>
      </c>
      <c r="E1" s="507" t="s">
        <v>231</v>
      </c>
      <c r="F1" s="507"/>
      <c r="G1" s="507"/>
      <c r="H1" s="507" t="s">
        <v>232</v>
      </c>
      <c r="I1" s="507"/>
      <c r="J1" s="507"/>
      <c r="K1" s="163"/>
      <c r="L1" s="507" t="s">
        <v>197</v>
      </c>
      <c r="M1" s="507"/>
    </row>
    <row r="2" spans="1:13" ht="27.95" customHeight="1" x14ac:dyDescent="0.25">
      <c r="A2" s="164"/>
      <c r="B2" s="164"/>
      <c r="C2" s="164"/>
      <c r="D2" s="164" t="s">
        <v>233</v>
      </c>
      <c r="E2" s="508" t="s">
        <v>234</v>
      </c>
      <c r="F2" s="508"/>
      <c r="G2" s="508"/>
      <c r="H2" s="509">
        <v>0.28820000000000001</v>
      </c>
      <c r="I2" s="509"/>
      <c r="J2" s="508"/>
      <c r="K2" s="164"/>
      <c r="L2" s="508" t="s">
        <v>235</v>
      </c>
      <c r="M2" s="508"/>
    </row>
    <row r="3" spans="1:13" ht="24.6" customHeight="1" x14ac:dyDescent="0.25">
      <c r="A3" s="164"/>
      <c r="B3" s="164"/>
      <c r="C3" s="164"/>
      <c r="D3" s="164" t="s">
        <v>236</v>
      </c>
      <c r="E3" s="508" t="s">
        <v>237</v>
      </c>
      <c r="F3" s="508"/>
      <c r="G3" s="508"/>
      <c r="H3" s="509">
        <v>0.2492</v>
      </c>
      <c r="I3" s="509"/>
      <c r="J3" s="508"/>
      <c r="K3" s="164"/>
      <c r="L3" s="508" t="s">
        <v>235</v>
      </c>
      <c r="M3" s="508"/>
    </row>
    <row r="4" spans="1:13" ht="24.6" customHeight="1" x14ac:dyDescent="0.25">
      <c r="A4" s="164"/>
      <c r="B4" s="164"/>
      <c r="C4" s="164"/>
      <c r="D4" s="164" t="s">
        <v>238</v>
      </c>
      <c r="E4" s="165" t="s">
        <v>238</v>
      </c>
      <c r="F4" s="165"/>
      <c r="G4" s="166">
        <v>0.16639999999999999</v>
      </c>
      <c r="H4" s="167"/>
      <c r="I4" s="167"/>
      <c r="J4" s="164"/>
      <c r="K4" s="164"/>
      <c r="L4" s="164"/>
      <c r="M4" s="164"/>
    </row>
    <row r="5" spans="1:13" ht="30.95" customHeight="1" x14ac:dyDescent="0.25">
      <c r="A5" s="510" t="s">
        <v>239</v>
      </c>
      <c r="B5" s="511"/>
      <c r="C5" s="511"/>
      <c r="D5" s="511"/>
      <c r="E5" s="511"/>
      <c r="F5" s="511"/>
      <c r="G5" s="511"/>
      <c r="H5" s="511"/>
      <c r="I5" s="511"/>
      <c r="J5" s="511"/>
      <c r="K5" s="511"/>
      <c r="L5" s="511"/>
      <c r="M5" s="511"/>
    </row>
    <row r="6" spans="1:13" ht="30" customHeight="1" x14ac:dyDescent="0.25">
      <c r="A6" s="168" t="s">
        <v>240</v>
      </c>
      <c r="B6" s="169" t="s">
        <v>180</v>
      </c>
      <c r="C6" s="168" t="s">
        <v>241</v>
      </c>
      <c r="D6" s="168" t="s">
        <v>242</v>
      </c>
      <c r="E6" s="170" t="s">
        <v>243</v>
      </c>
      <c r="F6" s="169" t="s">
        <v>244</v>
      </c>
      <c r="G6" s="169" t="s">
        <v>376</v>
      </c>
      <c r="H6" s="169" t="s">
        <v>491</v>
      </c>
      <c r="I6" s="169" t="s">
        <v>245</v>
      </c>
      <c r="J6" s="169" t="s">
        <v>246</v>
      </c>
      <c r="K6" s="169" t="s">
        <v>377</v>
      </c>
      <c r="L6" s="169" t="s">
        <v>247</v>
      </c>
      <c r="M6" s="169" t="s">
        <v>248</v>
      </c>
    </row>
    <row r="7" spans="1:13" ht="24" customHeight="1" x14ac:dyDescent="0.25">
      <c r="A7" s="171" t="s">
        <v>249</v>
      </c>
      <c r="B7" s="171"/>
      <c r="C7" s="171"/>
      <c r="D7" s="171" t="s">
        <v>250</v>
      </c>
      <c r="E7" s="171"/>
      <c r="F7" s="171"/>
      <c r="G7" s="172"/>
      <c r="H7" s="173"/>
      <c r="I7" s="173"/>
      <c r="J7" s="174"/>
      <c r="K7" s="174"/>
      <c r="L7" s="174">
        <f>SUM(L8)</f>
        <v>11219.702292000002</v>
      </c>
      <c r="M7" s="175">
        <v>7.5303513354997922E-2</v>
      </c>
    </row>
    <row r="8" spans="1:13" ht="24" customHeight="1" x14ac:dyDescent="0.25">
      <c r="A8" s="171" t="s">
        <v>251</v>
      </c>
      <c r="B8" s="171"/>
      <c r="C8" s="171"/>
      <c r="D8" s="171" t="s">
        <v>252</v>
      </c>
      <c r="E8" s="171"/>
      <c r="F8" s="171"/>
      <c r="G8" s="172"/>
      <c r="H8" s="173"/>
      <c r="I8" s="173"/>
      <c r="J8" s="174"/>
      <c r="K8" s="174"/>
      <c r="L8" s="174">
        <f>SUM(L9:L13)</f>
        <v>11219.702292000002</v>
      </c>
      <c r="M8" s="175">
        <v>7.5303513354997922E-2</v>
      </c>
    </row>
    <row r="9" spans="1:13" ht="51.95" customHeight="1" x14ac:dyDescent="0.25">
      <c r="A9" s="176" t="s">
        <v>253</v>
      </c>
      <c r="B9" s="177" t="s">
        <v>254</v>
      </c>
      <c r="C9" s="176" t="s">
        <v>255</v>
      </c>
      <c r="D9" s="176" t="s">
        <v>256</v>
      </c>
      <c r="E9" s="178" t="s">
        <v>257</v>
      </c>
      <c r="F9" s="179">
        <v>3</v>
      </c>
      <c r="G9" s="179">
        <v>3</v>
      </c>
      <c r="H9" s="180">
        <v>1054.68</v>
      </c>
      <c r="I9" s="180"/>
      <c r="J9" s="180">
        <f t="shared" ref="J9:J48" si="0">IF(G9="","",H9*(1+($H$3/1)))</f>
        <v>1317.5062560000001</v>
      </c>
      <c r="K9" s="180">
        <f>IF(G9="","",G9*H9)</f>
        <v>3164.04</v>
      </c>
      <c r="L9" s="180">
        <f>IF(G9="","",G9*J9)</f>
        <v>3952.5187680000004</v>
      </c>
      <c r="M9" s="181">
        <v>2.4041116171450501E-2</v>
      </c>
    </row>
    <row r="10" spans="1:13" ht="24" customHeight="1" x14ac:dyDescent="0.25">
      <c r="A10" s="176" t="s">
        <v>258</v>
      </c>
      <c r="B10" s="177" t="s">
        <v>259</v>
      </c>
      <c r="C10" s="176" t="s">
        <v>255</v>
      </c>
      <c r="D10" s="176" t="s">
        <v>260</v>
      </c>
      <c r="E10" s="178" t="s">
        <v>101</v>
      </c>
      <c r="F10" s="179">
        <v>2.5</v>
      </c>
      <c r="G10" s="179">
        <v>2.5</v>
      </c>
      <c r="H10" s="180">
        <v>363.14</v>
      </c>
      <c r="I10" s="180"/>
      <c r="J10" s="180">
        <f t="shared" si="0"/>
        <v>453.63448800000003</v>
      </c>
      <c r="K10" s="180">
        <f t="shared" ref="K10:K48" si="1">IF(G10="","",G10*H10)</f>
        <v>907.84999999999991</v>
      </c>
      <c r="L10" s="180">
        <f t="shared" ref="L10:L13" si="2">IF(G10="","",G10*J10)</f>
        <v>1134.0862200000001</v>
      </c>
      <c r="M10" s="181">
        <v>6.8980566984776859E-3</v>
      </c>
    </row>
    <row r="11" spans="1:13" ht="26.1" customHeight="1" x14ac:dyDescent="0.25">
      <c r="A11" s="176" t="s">
        <v>261</v>
      </c>
      <c r="B11" s="177" t="s">
        <v>262</v>
      </c>
      <c r="C11" s="176" t="s">
        <v>255</v>
      </c>
      <c r="D11" s="176" t="s">
        <v>263</v>
      </c>
      <c r="E11" s="178" t="s">
        <v>101</v>
      </c>
      <c r="F11" s="179">
        <v>54.615000000000002</v>
      </c>
      <c r="G11" s="194">
        <f>ROUNDUP(F11*(83/122),0)</f>
        <v>38</v>
      </c>
      <c r="H11" s="180">
        <v>71.52</v>
      </c>
      <c r="I11" s="180"/>
      <c r="J11" s="180">
        <f t="shared" si="0"/>
        <v>89.342783999999995</v>
      </c>
      <c r="K11" s="180">
        <f t="shared" si="1"/>
        <v>2717.7599999999998</v>
      </c>
      <c r="L11" s="180">
        <f t="shared" si="2"/>
        <v>3395.0257919999999</v>
      </c>
      <c r="M11" s="181">
        <v>2.9679157732726499E-2</v>
      </c>
    </row>
    <row r="12" spans="1:13" ht="26.1" customHeight="1" x14ac:dyDescent="0.25">
      <c r="A12" s="176" t="s">
        <v>264</v>
      </c>
      <c r="B12" s="177" t="s">
        <v>265</v>
      </c>
      <c r="C12" s="176" t="s">
        <v>255</v>
      </c>
      <c r="D12" s="176" t="s">
        <v>266</v>
      </c>
      <c r="E12" s="178" t="s">
        <v>101</v>
      </c>
      <c r="F12" s="179">
        <v>54.615000000000002</v>
      </c>
      <c r="G12" s="194">
        <f>ROUNDUP(F12*(83/122),0)</f>
        <v>38</v>
      </c>
      <c r="H12" s="180">
        <v>2.4300000000000002</v>
      </c>
      <c r="I12" s="180"/>
      <c r="J12" s="180">
        <f t="shared" si="0"/>
        <v>3.0355560000000006</v>
      </c>
      <c r="K12" s="180">
        <f t="shared" si="1"/>
        <v>92.34</v>
      </c>
      <c r="L12" s="180">
        <f t="shared" si="2"/>
        <v>115.35112800000002</v>
      </c>
      <c r="M12" s="181">
        <v>1.0083616285234056E-3</v>
      </c>
    </row>
    <row r="13" spans="1:13" ht="24" customHeight="1" x14ac:dyDescent="0.25">
      <c r="A13" s="182" t="s">
        <v>267</v>
      </c>
      <c r="B13" s="183" t="s">
        <v>268</v>
      </c>
      <c r="C13" s="182" t="s">
        <v>269</v>
      </c>
      <c r="D13" s="182" t="s">
        <v>270</v>
      </c>
      <c r="E13" s="184" t="s">
        <v>271</v>
      </c>
      <c r="F13" s="185">
        <v>4</v>
      </c>
      <c r="G13" s="185">
        <v>4</v>
      </c>
      <c r="H13" s="186">
        <f>IF(G13="","",I13*(1+($G$4/1)))</f>
        <v>524.88</v>
      </c>
      <c r="I13" s="186">
        <v>450</v>
      </c>
      <c r="J13" s="180">
        <f t="shared" si="0"/>
        <v>655.68009600000005</v>
      </c>
      <c r="K13" s="180">
        <f t="shared" si="1"/>
        <v>2099.52</v>
      </c>
      <c r="L13" s="180">
        <f t="shared" si="2"/>
        <v>2622.7203840000002</v>
      </c>
      <c r="M13" s="187">
        <v>1.3676821123819833E-2</v>
      </c>
    </row>
    <row r="14" spans="1:13" ht="24" customHeight="1" x14ac:dyDescent="0.25">
      <c r="A14" s="171" t="s">
        <v>272</v>
      </c>
      <c r="B14" s="171"/>
      <c r="C14" s="171"/>
      <c r="D14" s="171" t="s">
        <v>273</v>
      </c>
      <c r="E14" s="171"/>
      <c r="F14" s="188"/>
      <c r="G14" s="188"/>
      <c r="H14" s="173"/>
      <c r="I14" s="173"/>
      <c r="J14" s="174" t="str">
        <f t="shared" si="0"/>
        <v/>
      </c>
      <c r="K14" s="180" t="str">
        <f t="shared" si="1"/>
        <v/>
      </c>
      <c r="L14" s="174">
        <f>SUM(L15,L19,L23,L25)</f>
        <v>108425.15560037506</v>
      </c>
      <c r="M14" s="175">
        <v>0.73669095239531668</v>
      </c>
    </row>
    <row r="15" spans="1:13" ht="24" customHeight="1" x14ac:dyDescent="0.25">
      <c r="A15" s="171" t="s">
        <v>274</v>
      </c>
      <c r="B15" s="171"/>
      <c r="C15" s="171"/>
      <c r="D15" s="171" t="s">
        <v>275</v>
      </c>
      <c r="E15" s="171"/>
      <c r="F15" s="188"/>
      <c r="G15" s="188"/>
      <c r="H15" s="173"/>
      <c r="I15" s="173"/>
      <c r="J15" s="174" t="str">
        <f t="shared" si="0"/>
        <v/>
      </c>
      <c r="K15" s="180" t="str">
        <f t="shared" si="1"/>
        <v/>
      </c>
      <c r="L15" s="174">
        <f>SUM(L16:L18)</f>
        <v>1044.08935488</v>
      </c>
      <c r="M15" s="175">
        <v>1.0692310807583615E-2</v>
      </c>
    </row>
    <row r="16" spans="1:13" ht="26.1" customHeight="1" x14ac:dyDescent="0.25">
      <c r="A16" s="176" t="s">
        <v>276</v>
      </c>
      <c r="B16" s="177" t="s">
        <v>277</v>
      </c>
      <c r="C16" s="176" t="s">
        <v>255</v>
      </c>
      <c r="D16" s="176" t="s">
        <v>278</v>
      </c>
      <c r="E16" s="178" t="s">
        <v>101</v>
      </c>
      <c r="F16" s="179">
        <v>6.93</v>
      </c>
      <c r="G16" s="194">
        <f>ROUNDUP(F16*(83/122),0)</f>
        <v>5</v>
      </c>
      <c r="H16" s="180">
        <v>8.65</v>
      </c>
      <c r="I16" s="180"/>
      <c r="J16" s="180">
        <f t="shared" si="0"/>
        <v>10.805580000000001</v>
      </c>
      <c r="K16" s="180">
        <f t="shared" si="1"/>
        <v>43.25</v>
      </c>
      <c r="L16" s="180">
        <f t="shared" ref="L16:L18" si="3">IF(G16="","",G16*J16)</f>
        <v>54.027900000000002</v>
      </c>
      <c r="M16" s="181">
        <v>4.5543814342320041E-4</v>
      </c>
    </row>
    <row r="17" spans="1:13" ht="26.1" customHeight="1" x14ac:dyDescent="0.25">
      <c r="A17" s="176" t="s">
        <v>276</v>
      </c>
      <c r="B17" s="177" t="s">
        <v>279</v>
      </c>
      <c r="C17" s="176" t="s">
        <v>255</v>
      </c>
      <c r="D17" s="176" t="s">
        <v>280</v>
      </c>
      <c r="E17" s="178" t="s">
        <v>101</v>
      </c>
      <c r="F17" s="179">
        <v>83.7</v>
      </c>
      <c r="G17" s="194">
        <f>(6.2+7.35)*2.8</f>
        <v>37.94</v>
      </c>
      <c r="H17" s="180">
        <v>7.06</v>
      </c>
      <c r="I17" s="180"/>
      <c r="J17" s="180">
        <f t="shared" si="0"/>
        <v>8.8193520000000003</v>
      </c>
      <c r="K17" s="180">
        <f t="shared" si="1"/>
        <v>267.85639999999995</v>
      </c>
      <c r="L17" s="180">
        <f t="shared" si="3"/>
        <v>334.60621487999998</v>
      </c>
      <c r="M17" s="181">
        <v>4.4899484102708977E-3</v>
      </c>
    </row>
    <row r="18" spans="1:13" ht="26.1" customHeight="1" x14ac:dyDescent="0.25">
      <c r="A18" s="176" t="s">
        <v>281</v>
      </c>
      <c r="B18" s="177" t="s">
        <v>282</v>
      </c>
      <c r="C18" s="176" t="s">
        <v>255</v>
      </c>
      <c r="D18" s="176" t="s">
        <v>283</v>
      </c>
      <c r="E18" s="178" t="s">
        <v>284</v>
      </c>
      <c r="F18" s="179">
        <v>14.414999999999999</v>
      </c>
      <c r="G18" s="194">
        <f>ROUNDUP(F18*(83/122),0)</f>
        <v>10</v>
      </c>
      <c r="H18" s="180">
        <v>52.47</v>
      </c>
      <c r="I18" s="180"/>
      <c r="J18" s="180">
        <f t="shared" si="0"/>
        <v>65.545524</v>
      </c>
      <c r="K18" s="180">
        <f t="shared" si="1"/>
        <v>524.70000000000005</v>
      </c>
      <c r="L18" s="180">
        <f t="shared" si="3"/>
        <v>655.45524</v>
      </c>
      <c r="M18" s="181">
        <v>5.7469242538895167E-3</v>
      </c>
    </row>
    <row r="19" spans="1:13" ht="24" customHeight="1" x14ac:dyDescent="0.25">
      <c r="A19" s="171" t="s">
        <v>285</v>
      </c>
      <c r="B19" s="171"/>
      <c r="C19" s="171"/>
      <c r="D19" s="171" t="s">
        <v>286</v>
      </c>
      <c r="E19" s="171"/>
      <c r="F19" s="188"/>
      <c r="G19" s="188"/>
      <c r="H19" s="173"/>
      <c r="I19" s="173"/>
      <c r="J19" s="174" t="str">
        <f t="shared" si="0"/>
        <v/>
      </c>
      <c r="K19" s="180" t="str">
        <f t="shared" si="1"/>
        <v/>
      </c>
      <c r="L19" s="174">
        <f>SUM(L20:L22)</f>
        <v>10044.817200000001</v>
      </c>
      <c r="M19" s="175">
        <v>8.9196580217253268E-2</v>
      </c>
    </row>
    <row r="20" spans="1:13" ht="51.95" customHeight="1" x14ac:dyDescent="0.25">
      <c r="A20" s="176" t="s">
        <v>287</v>
      </c>
      <c r="B20" s="177" t="s">
        <v>288</v>
      </c>
      <c r="C20" s="176" t="s">
        <v>255</v>
      </c>
      <c r="D20" s="176" t="s">
        <v>289</v>
      </c>
      <c r="E20" s="178" t="s">
        <v>101</v>
      </c>
      <c r="F20" s="179">
        <v>86.055999999999997</v>
      </c>
      <c r="G20" s="194">
        <f>ROUNDUP(F20*(83/122),0)</f>
        <v>59</v>
      </c>
      <c r="H20" s="180">
        <v>97.91</v>
      </c>
      <c r="I20" s="180"/>
      <c r="J20" s="180">
        <f t="shared" si="0"/>
        <v>122.309172</v>
      </c>
      <c r="K20" s="180">
        <f t="shared" si="1"/>
        <v>5776.69</v>
      </c>
      <c r="L20" s="180">
        <f t="shared" ref="L20:L22" si="4">IF(G20="","",G20*J20)</f>
        <v>7216.2411480000001</v>
      </c>
      <c r="M20" s="181">
        <v>6.4020743786563181E-2</v>
      </c>
    </row>
    <row r="21" spans="1:13" ht="26.1" customHeight="1" x14ac:dyDescent="0.25">
      <c r="A21" s="176" t="s">
        <v>290</v>
      </c>
      <c r="B21" s="177" t="s">
        <v>291</v>
      </c>
      <c r="C21" s="176" t="s">
        <v>255</v>
      </c>
      <c r="D21" s="176" t="s">
        <v>292</v>
      </c>
      <c r="E21" s="178" t="s">
        <v>101</v>
      </c>
      <c r="F21" s="179">
        <v>203.4</v>
      </c>
      <c r="G21" s="194">
        <f>ROUNDUP(F21*(83/122),0)</f>
        <v>139</v>
      </c>
      <c r="H21" s="180">
        <v>3.64</v>
      </c>
      <c r="I21" s="180"/>
      <c r="J21" s="180">
        <f t="shared" si="0"/>
        <v>4.5470880000000005</v>
      </c>
      <c r="K21" s="180">
        <f t="shared" si="1"/>
        <v>505.96000000000004</v>
      </c>
      <c r="L21" s="180">
        <f t="shared" si="4"/>
        <v>632.04523200000006</v>
      </c>
      <c r="M21" s="181">
        <v>5.6255044752458279E-3</v>
      </c>
    </row>
    <row r="22" spans="1:13" ht="26.1" customHeight="1" x14ac:dyDescent="0.25">
      <c r="A22" s="176" t="s">
        <v>293</v>
      </c>
      <c r="B22" s="177" t="s">
        <v>294</v>
      </c>
      <c r="C22" s="176" t="s">
        <v>255</v>
      </c>
      <c r="D22" s="176" t="s">
        <v>295</v>
      </c>
      <c r="E22" s="178" t="s">
        <v>101</v>
      </c>
      <c r="F22" s="179">
        <v>203.4</v>
      </c>
      <c r="G22" s="194">
        <f>ROUNDUP(F22*(83/122),0)</f>
        <v>139</v>
      </c>
      <c r="H22" s="180">
        <v>12.65</v>
      </c>
      <c r="I22" s="180"/>
      <c r="J22" s="180">
        <f t="shared" si="0"/>
        <v>15.802380000000001</v>
      </c>
      <c r="K22" s="180">
        <f t="shared" si="1"/>
        <v>1758.3500000000001</v>
      </c>
      <c r="L22" s="180">
        <f t="shared" si="4"/>
        <v>2196.5308199999999</v>
      </c>
      <c r="M22" s="181">
        <v>1.9550331955444259E-2</v>
      </c>
    </row>
    <row r="23" spans="1:13" ht="24" customHeight="1" x14ac:dyDescent="0.25">
      <c r="A23" s="171" t="s">
        <v>296</v>
      </c>
      <c r="B23" s="171"/>
      <c r="C23" s="171"/>
      <c r="D23" s="171" t="s">
        <v>297</v>
      </c>
      <c r="E23" s="171"/>
      <c r="F23" s="188"/>
      <c r="G23" s="188"/>
      <c r="H23" s="173"/>
      <c r="I23" s="173"/>
      <c r="J23" s="174" t="str">
        <f t="shared" si="0"/>
        <v/>
      </c>
      <c r="K23" s="180" t="str">
        <f t="shared" si="1"/>
        <v/>
      </c>
      <c r="L23" s="174">
        <f>SUM(L24)</f>
        <v>7219.4890679999999</v>
      </c>
      <c r="M23" s="175">
        <v>6.4545933717717857E-2</v>
      </c>
    </row>
    <row r="24" spans="1:13" ht="26.1" customHeight="1" x14ac:dyDescent="0.25">
      <c r="A24" s="176" t="s">
        <v>298</v>
      </c>
      <c r="B24" s="177" t="s">
        <v>299</v>
      </c>
      <c r="C24" s="176" t="s">
        <v>255</v>
      </c>
      <c r="D24" s="176" t="s">
        <v>300</v>
      </c>
      <c r="E24" s="178" t="s">
        <v>101</v>
      </c>
      <c r="F24" s="179">
        <v>122</v>
      </c>
      <c r="G24" s="194">
        <f>ROUNDUP(F24*(83/122),0)</f>
        <v>83</v>
      </c>
      <c r="H24" s="180">
        <v>69.63</v>
      </c>
      <c r="I24" s="180"/>
      <c r="J24" s="180">
        <f t="shared" si="0"/>
        <v>86.981796000000003</v>
      </c>
      <c r="K24" s="180">
        <f t="shared" si="1"/>
        <v>5779.29</v>
      </c>
      <c r="L24" s="180">
        <f t="shared" ref="L24" si="5">IF(G24="","",G24*J24)</f>
        <v>7219.4890679999999</v>
      </c>
      <c r="M24" s="181">
        <v>6.4545933717717857E-2</v>
      </c>
    </row>
    <row r="25" spans="1:13" ht="24" customHeight="1" x14ac:dyDescent="0.25">
      <c r="A25" s="171" t="s">
        <v>301</v>
      </c>
      <c r="B25" s="171"/>
      <c r="C25" s="171"/>
      <c r="D25" s="171" t="s">
        <v>302</v>
      </c>
      <c r="E25" s="171"/>
      <c r="F25" s="188"/>
      <c r="G25" s="188"/>
      <c r="H25" s="173"/>
      <c r="I25" s="173"/>
      <c r="J25" s="174" t="str">
        <f t="shared" si="0"/>
        <v/>
      </c>
      <c r="K25" s="180" t="str">
        <f t="shared" si="1"/>
        <v/>
      </c>
      <c r="L25" s="174">
        <f>SUM(L26:L30)</f>
        <v>90116.759977495065</v>
      </c>
      <c r="M25" s="175">
        <v>0.5722561276527619</v>
      </c>
    </row>
    <row r="26" spans="1:13" ht="26.1" customHeight="1" x14ac:dyDescent="0.25">
      <c r="A26" s="176" t="s">
        <v>303</v>
      </c>
      <c r="B26" s="177" t="s">
        <v>304</v>
      </c>
      <c r="C26" s="176" t="s">
        <v>255</v>
      </c>
      <c r="D26" s="176" t="s">
        <v>305</v>
      </c>
      <c r="E26" s="178" t="s">
        <v>101</v>
      </c>
      <c r="F26" s="179">
        <v>17.399999999999999</v>
      </c>
      <c r="G26" s="194">
        <v>0</v>
      </c>
      <c r="H26" s="180">
        <v>91.63</v>
      </c>
      <c r="I26" s="180"/>
      <c r="J26" s="180">
        <f t="shared" si="0"/>
        <v>114.464196</v>
      </c>
      <c r="K26" s="180">
        <f t="shared" si="1"/>
        <v>0</v>
      </c>
      <c r="L26" s="180">
        <f t="shared" ref="L26:L30" si="6">IF(G26="","",G26*J26)</f>
        <v>0</v>
      </c>
      <c r="M26" s="181">
        <v>1.2114320292762994E-2</v>
      </c>
    </row>
    <row r="27" spans="1:13" ht="51.95" customHeight="1" x14ac:dyDescent="0.25">
      <c r="A27" s="182" t="s">
        <v>306</v>
      </c>
      <c r="B27" s="183" t="s">
        <v>307</v>
      </c>
      <c r="C27" s="182" t="s">
        <v>269</v>
      </c>
      <c r="D27" s="182" t="s">
        <v>308</v>
      </c>
      <c r="E27" s="184" t="s">
        <v>309</v>
      </c>
      <c r="F27" s="185">
        <v>1</v>
      </c>
      <c r="G27" s="185">
        <v>1</v>
      </c>
      <c r="H27" s="186">
        <f t="shared" ref="H27:H30" si="7">IF(G27="","",I27*(1+($G$4/1)))</f>
        <v>41128.889311475403</v>
      </c>
      <c r="I27" s="311">
        <f>51830*(83/122)</f>
        <v>35261.393442622946</v>
      </c>
      <c r="J27" s="180">
        <f t="shared" si="0"/>
        <v>51378.208527895076</v>
      </c>
      <c r="K27" s="180">
        <f t="shared" si="1"/>
        <v>41128.889311475403</v>
      </c>
      <c r="L27" s="180">
        <f t="shared" si="6"/>
        <v>51378.208527895076</v>
      </c>
      <c r="M27" s="187">
        <v>0.39381646602643439</v>
      </c>
    </row>
    <row r="28" spans="1:13" ht="39" customHeight="1" x14ac:dyDescent="0.25">
      <c r="A28" s="182" t="s">
        <v>310</v>
      </c>
      <c r="B28" s="183" t="s">
        <v>311</v>
      </c>
      <c r="C28" s="182" t="s">
        <v>269</v>
      </c>
      <c r="D28" s="182" t="s">
        <v>312</v>
      </c>
      <c r="E28" s="184" t="s">
        <v>309</v>
      </c>
      <c r="F28" s="185">
        <v>3</v>
      </c>
      <c r="G28" s="194">
        <v>4</v>
      </c>
      <c r="H28" s="186">
        <f t="shared" si="7"/>
        <v>3242.5919999999996</v>
      </c>
      <c r="I28" s="186">
        <v>2780</v>
      </c>
      <c r="J28" s="180">
        <f t="shared" si="0"/>
        <v>4050.6459264</v>
      </c>
      <c r="K28" s="180">
        <f t="shared" si="1"/>
        <v>12970.367999999999</v>
      </c>
      <c r="L28" s="180">
        <f t="shared" si="6"/>
        <v>16202.5837056</v>
      </c>
      <c r="M28" s="187">
        <v>6.3369271207031896E-2</v>
      </c>
    </row>
    <row r="29" spans="1:13" ht="39" customHeight="1" x14ac:dyDescent="0.25">
      <c r="A29" s="182" t="s">
        <v>313</v>
      </c>
      <c r="B29" s="183" t="s">
        <v>314</v>
      </c>
      <c r="C29" s="182" t="s">
        <v>269</v>
      </c>
      <c r="D29" s="182" t="s">
        <v>315</v>
      </c>
      <c r="E29" s="184" t="s">
        <v>309</v>
      </c>
      <c r="F29" s="185">
        <v>1</v>
      </c>
      <c r="G29" s="185">
        <v>1</v>
      </c>
      <c r="H29" s="186">
        <f t="shared" si="7"/>
        <v>18040.319999999996</v>
      </c>
      <c r="I29" s="311">
        <f>11600*(4/3)</f>
        <v>15466.666666666666</v>
      </c>
      <c r="J29" s="180">
        <f t="shared" si="0"/>
        <v>22535.967743999998</v>
      </c>
      <c r="K29" s="180">
        <f t="shared" si="1"/>
        <v>18040.319999999996</v>
      </c>
      <c r="L29" s="180">
        <f t="shared" si="6"/>
        <v>22535.967743999998</v>
      </c>
      <c r="M29" s="187">
        <v>8.8139513909061148E-2</v>
      </c>
    </row>
    <row r="30" spans="1:13" ht="26.1" customHeight="1" x14ac:dyDescent="0.25">
      <c r="A30" s="182" t="s">
        <v>316</v>
      </c>
      <c r="B30" s="183" t="s">
        <v>317</v>
      </c>
      <c r="C30" s="182" t="s">
        <v>269</v>
      </c>
      <c r="D30" s="182" t="s">
        <v>318</v>
      </c>
      <c r="E30" s="184" t="s">
        <v>309</v>
      </c>
      <c r="F30" s="185">
        <v>1</v>
      </c>
      <c r="G30" s="185">
        <v>0</v>
      </c>
      <c r="H30" s="186">
        <f t="shared" si="7"/>
        <v>2274.4799999999996</v>
      </c>
      <c r="I30" s="311">
        <v>1950</v>
      </c>
      <c r="J30" s="180">
        <f t="shared" si="0"/>
        <v>2841.2804159999996</v>
      </c>
      <c r="K30" s="180">
        <f t="shared" si="1"/>
        <v>0</v>
      </c>
      <c r="L30" s="180">
        <f t="shared" si="6"/>
        <v>0</v>
      </c>
      <c r="M30" s="187">
        <v>1.4816556217471485E-2</v>
      </c>
    </row>
    <row r="31" spans="1:13" ht="24" customHeight="1" x14ac:dyDescent="0.25">
      <c r="A31" s="171" t="s">
        <v>319</v>
      </c>
      <c r="B31" s="171"/>
      <c r="C31" s="171"/>
      <c r="D31" s="171" t="s">
        <v>320</v>
      </c>
      <c r="E31" s="171"/>
      <c r="F31" s="188"/>
      <c r="G31" s="188"/>
      <c r="H31" s="173"/>
      <c r="I31" s="173"/>
      <c r="J31" s="174" t="str">
        <f t="shared" si="0"/>
        <v/>
      </c>
      <c r="K31" s="180" t="str">
        <f t="shared" si="1"/>
        <v/>
      </c>
      <c r="L31" s="174">
        <f>SUM(L32:L42)</f>
        <v>5981.3232615936013</v>
      </c>
      <c r="M31" s="175">
        <v>4.685937256975236E-2</v>
      </c>
    </row>
    <row r="32" spans="1:13" ht="39" customHeight="1" x14ac:dyDescent="0.25">
      <c r="A32" s="176" t="s">
        <v>321</v>
      </c>
      <c r="B32" s="177" t="s">
        <v>322</v>
      </c>
      <c r="C32" s="176" t="s">
        <v>255</v>
      </c>
      <c r="D32" s="176" t="s">
        <v>323</v>
      </c>
      <c r="E32" s="178" t="s">
        <v>324</v>
      </c>
      <c r="F32" s="179">
        <v>119</v>
      </c>
      <c r="G32" s="194">
        <f>ROUNDUP(F32*(83/122),0)</f>
        <v>81</v>
      </c>
      <c r="H32" s="180">
        <v>4.42</v>
      </c>
      <c r="I32" s="180"/>
      <c r="J32" s="180">
        <f t="shared" si="0"/>
        <v>5.5214639999999999</v>
      </c>
      <c r="K32" s="180">
        <f t="shared" si="1"/>
        <v>358.02</v>
      </c>
      <c r="L32" s="180">
        <f t="shared" ref="L32:L42" si="8">IF(G32="","",G32*J32)</f>
        <v>447.238584</v>
      </c>
      <c r="M32" s="181">
        <v>3.996519097059309E-3</v>
      </c>
    </row>
    <row r="33" spans="1:13" ht="39" customHeight="1" x14ac:dyDescent="0.25">
      <c r="A33" s="176" t="s">
        <v>325</v>
      </c>
      <c r="B33" s="177" t="s">
        <v>326</v>
      </c>
      <c r="C33" s="176" t="s">
        <v>255</v>
      </c>
      <c r="D33" s="176" t="s">
        <v>327</v>
      </c>
      <c r="E33" s="178" t="s">
        <v>324</v>
      </c>
      <c r="F33" s="179">
        <v>241.32</v>
      </c>
      <c r="G33" s="194">
        <f>ROUNDUP(F33*(83/122),0)</f>
        <v>165</v>
      </c>
      <c r="H33" s="180">
        <v>6.88</v>
      </c>
      <c r="I33" s="180"/>
      <c r="J33" s="180">
        <f t="shared" si="0"/>
        <v>8.5944960000000012</v>
      </c>
      <c r="K33" s="180">
        <f t="shared" si="1"/>
        <v>1135.2</v>
      </c>
      <c r="L33" s="180">
        <f t="shared" si="8"/>
        <v>1418.0918400000003</v>
      </c>
      <c r="M33" s="181">
        <v>1.2615195875253107E-2</v>
      </c>
    </row>
    <row r="34" spans="1:13" ht="39" customHeight="1" x14ac:dyDescent="0.25">
      <c r="A34" s="182" t="s">
        <v>328</v>
      </c>
      <c r="B34" s="183" t="s">
        <v>329</v>
      </c>
      <c r="C34" s="182" t="s">
        <v>269</v>
      </c>
      <c r="D34" s="182" t="s">
        <v>330</v>
      </c>
      <c r="E34" s="184" t="s">
        <v>309</v>
      </c>
      <c r="F34" s="185">
        <v>19</v>
      </c>
      <c r="G34" s="194">
        <f>ROUNDUP(F34*(83/122),0)</f>
        <v>13</v>
      </c>
      <c r="H34" s="186">
        <f t="shared" ref="H34:H35" si="9">IF(G34="","",I34*(1+($G$4/1)))</f>
        <v>174.84335999999999</v>
      </c>
      <c r="I34" s="186">
        <v>149.9</v>
      </c>
      <c r="J34" s="180">
        <f t="shared" si="0"/>
        <v>218.41432531200002</v>
      </c>
      <c r="K34" s="180">
        <f t="shared" si="1"/>
        <v>2272.9636799999998</v>
      </c>
      <c r="L34" s="180">
        <f t="shared" si="8"/>
        <v>2839.386229056</v>
      </c>
      <c r="M34" s="187">
        <v>2.1640530134861814E-2</v>
      </c>
    </row>
    <row r="35" spans="1:13" ht="51.95" customHeight="1" x14ac:dyDescent="0.25">
      <c r="A35" s="182" t="s">
        <v>331</v>
      </c>
      <c r="B35" s="183" t="s">
        <v>332</v>
      </c>
      <c r="C35" s="182" t="s">
        <v>269</v>
      </c>
      <c r="D35" s="182" t="s">
        <v>333</v>
      </c>
      <c r="E35" s="184" t="s">
        <v>324</v>
      </c>
      <c r="F35" s="185">
        <v>33.950000000000003</v>
      </c>
      <c r="G35" s="194">
        <f>ROUNDUP(F35*(83/122),0)</f>
        <v>24</v>
      </c>
      <c r="H35" s="186">
        <f t="shared" si="9"/>
        <v>18.335808</v>
      </c>
      <c r="I35" s="186">
        <v>15.72</v>
      </c>
      <c r="J35" s="180">
        <f t="shared" si="0"/>
        <v>22.905091353600003</v>
      </c>
      <c r="K35" s="180">
        <f t="shared" si="1"/>
        <v>440.059392</v>
      </c>
      <c r="L35" s="180">
        <f t="shared" si="8"/>
        <v>549.7221924864001</v>
      </c>
      <c r="M35" s="187">
        <v>4.0551014808730039E-3</v>
      </c>
    </row>
    <row r="36" spans="1:13" ht="39" customHeight="1" x14ac:dyDescent="0.25">
      <c r="A36" s="176" t="s">
        <v>334</v>
      </c>
      <c r="B36" s="177" t="s">
        <v>335</v>
      </c>
      <c r="C36" s="176" t="s">
        <v>255</v>
      </c>
      <c r="D36" s="176" t="s">
        <v>336</v>
      </c>
      <c r="E36" s="178" t="s">
        <v>309</v>
      </c>
      <c r="F36" s="179">
        <v>3</v>
      </c>
      <c r="G36" s="194">
        <f t="shared" ref="G36:G42" si="10">ROUNDUP(F36*(83/122),0)</f>
        <v>3</v>
      </c>
      <c r="H36" s="180">
        <v>46.94</v>
      </c>
      <c r="I36" s="180"/>
      <c r="J36" s="180">
        <f t="shared" si="0"/>
        <v>58.637447999999999</v>
      </c>
      <c r="K36" s="180">
        <f t="shared" si="1"/>
        <v>140.82</v>
      </c>
      <c r="L36" s="180">
        <f t="shared" si="8"/>
        <v>175.91234399999999</v>
      </c>
      <c r="M36" s="181">
        <v>1.0699833059201716E-3</v>
      </c>
    </row>
    <row r="37" spans="1:13" ht="39" customHeight="1" x14ac:dyDescent="0.25">
      <c r="A37" s="176" t="s">
        <v>337</v>
      </c>
      <c r="B37" s="177" t="s">
        <v>338</v>
      </c>
      <c r="C37" s="176" t="s">
        <v>255</v>
      </c>
      <c r="D37" s="176" t="s">
        <v>339</v>
      </c>
      <c r="E37" s="178" t="s">
        <v>309</v>
      </c>
      <c r="F37" s="179">
        <v>3</v>
      </c>
      <c r="G37" s="194">
        <f t="shared" si="10"/>
        <v>3</v>
      </c>
      <c r="H37" s="180">
        <v>35.840000000000003</v>
      </c>
      <c r="I37" s="180"/>
      <c r="J37" s="180">
        <f t="shared" si="0"/>
        <v>44.771328000000004</v>
      </c>
      <c r="K37" s="180">
        <f t="shared" si="1"/>
        <v>107.52000000000001</v>
      </c>
      <c r="L37" s="180">
        <f t="shared" si="8"/>
        <v>134.313984</v>
      </c>
      <c r="M37" s="181">
        <v>8.1696211512950463E-4</v>
      </c>
    </row>
    <row r="38" spans="1:13" ht="51.95" customHeight="1" x14ac:dyDescent="0.25">
      <c r="A38" s="182" t="s">
        <v>340</v>
      </c>
      <c r="B38" s="183" t="s">
        <v>341</v>
      </c>
      <c r="C38" s="182" t="s">
        <v>269</v>
      </c>
      <c r="D38" s="182" t="s">
        <v>342</v>
      </c>
      <c r="E38" s="184" t="s">
        <v>309</v>
      </c>
      <c r="F38" s="185">
        <v>2</v>
      </c>
      <c r="G38" s="194">
        <f t="shared" si="10"/>
        <v>2</v>
      </c>
      <c r="H38" s="186">
        <f>IF(G38="","",I38*(1+($G$4/1)))</f>
        <v>29.579903999999996</v>
      </c>
      <c r="I38" s="186">
        <v>25.36</v>
      </c>
      <c r="J38" s="180">
        <f t="shared" si="0"/>
        <v>36.951216076799994</v>
      </c>
      <c r="K38" s="180">
        <f t="shared" si="1"/>
        <v>59.159807999999991</v>
      </c>
      <c r="L38" s="180">
        <f t="shared" si="8"/>
        <v>73.902432153599989</v>
      </c>
      <c r="M38" s="187">
        <v>3.8538242633341218E-4</v>
      </c>
    </row>
    <row r="39" spans="1:13" ht="26.1" customHeight="1" x14ac:dyDescent="0.25">
      <c r="A39" s="176" t="s">
        <v>343</v>
      </c>
      <c r="B39" s="177" t="s">
        <v>344</v>
      </c>
      <c r="C39" s="176" t="s">
        <v>255</v>
      </c>
      <c r="D39" s="176" t="s">
        <v>345</v>
      </c>
      <c r="E39" s="178" t="s">
        <v>309</v>
      </c>
      <c r="F39" s="179">
        <v>1</v>
      </c>
      <c r="G39" s="194">
        <f t="shared" si="10"/>
        <v>1</v>
      </c>
      <c r="H39" s="180">
        <v>52.28</v>
      </c>
      <c r="I39" s="180"/>
      <c r="J39" s="180">
        <f t="shared" si="0"/>
        <v>65.308176000000003</v>
      </c>
      <c r="K39" s="180">
        <f t="shared" si="1"/>
        <v>52.28</v>
      </c>
      <c r="L39" s="180">
        <f t="shared" si="8"/>
        <v>65.308176000000003</v>
      </c>
      <c r="M39" s="181">
        <v>3.9723567130738936E-4</v>
      </c>
    </row>
    <row r="40" spans="1:13" ht="39" customHeight="1" x14ac:dyDescent="0.25">
      <c r="A40" s="176" t="s">
        <v>346</v>
      </c>
      <c r="B40" s="177" t="s">
        <v>347</v>
      </c>
      <c r="C40" s="176" t="s">
        <v>255</v>
      </c>
      <c r="D40" s="176" t="s">
        <v>348</v>
      </c>
      <c r="E40" s="178" t="s">
        <v>324</v>
      </c>
      <c r="F40" s="179">
        <v>20</v>
      </c>
      <c r="G40" s="194">
        <f t="shared" si="10"/>
        <v>14</v>
      </c>
      <c r="H40" s="180">
        <v>5.49</v>
      </c>
      <c r="I40" s="180"/>
      <c r="J40" s="180">
        <f t="shared" si="0"/>
        <v>6.8581080000000005</v>
      </c>
      <c r="K40" s="180">
        <f t="shared" si="1"/>
        <v>76.86</v>
      </c>
      <c r="L40" s="180">
        <f t="shared" si="8"/>
        <v>96.013512000000006</v>
      </c>
      <c r="M40" s="181">
        <v>8.3428608855300982E-4</v>
      </c>
    </row>
    <row r="41" spans="1:13" ht="39" customHeight="1" x14ac:dyDescent="0.25">
      <c r="A41" s="182" t="s">
        <v>349</v>
      </c>
      <c r="B41" s="183" t="s">
        <v>350</v>
      </c>
      <c r="C41" s="182" t="s">
        <v>269</v>
      </c>
      <c r="D41" s="182" t="s">
        <v>351</v>
      </c>
      <c r="E41" s="184" t="s">
        <v>309</v>
      </c>
      <c r="F41" s="185">
        <v>1</v>
      </c>
      <c r="G41" s="194">
        <f t="shared" si="10"/>
        <v>1</v>
      </c>
      <c r="H41" s="186">
        <f t="shared" ref="H41:H42" si="11">IF(G41="","",I41*(1+($G$4/1)))</f>
        <v>82.581119999999984</v>
      </c>
      <c r="I41" s="186">
        <v>70.8</v>
      </c>
      <c r="J41" s="180">
        <f t="shared" si="0"/>
        <v>103.16033510399998</v>
      </c>
      <c r="K41" s="180">
        <f t="shared" si="1"/>
        <v>82.581119999999984</v>
      </c>
      <c r="L41" s="180">
        <f t="shared" si="8"/>
        <v>103.16033510399998</v>
      </c>
      <c r="M41" s="187">
        <v>5.3795496420358014E-4</v>
      </c>
    </row>
    <row r="42" spans="1:13" ht="51.95" customHeight="1" x14ac:dyDescent="0.25">
      <c r="A42" s="182" t="s">
        <v>352</v>
      </c>
      <c r="B42" s="183" t="s">
        <v>353</v>
      </c>
      <c r="C42" s="182" t="s">
        <v>269</v>
      </c>
      <c r="D42" s="182" t="s">
        <v>354</v>
      </c>
      <c r="E42" s="184" t="s">
        <v>309</v>
      </c>
      <c r="F42" s="185">
        <v>5</v>
      </c>
      <c r="G42" s="194">
        <f t="shared" si="10"/>
        <v>4</v>
      </c>
      <c r="H42" s="186">
        <f t="shared" si="11"/>
        <v>15.664751999999998</v>
      </c>
      <c r="I42" s="186">
        <v>13.43</v>
      </c>
      <c r="J42" s="180">
        <f t="shared" si="0"/>
        <v>19.5684081984</v>
      </c>
      <c r="K42" s="180">
        <f t="shared" si="1"/>
        <v>62.659007999999993</v>
      </c>
      <c r="L42" s="180">
        <f t="shared" si="8"/>
        <v>78.273632793600001</v>
      </c>
      <c r="M42" s="187">
        <v>5.1022141025805652E-4</v>
      </c>
    </row>
    <row r="43" spans="1:13" ht="24" customHeight="1" x14ac:dyDescent="0.25">
      <c r="A43" s="171" t="s">
        <v>355</v>
      </c>
      <c r="B43" s="171"/>
      <c r="C43" s="171"/>
      <c r="D43" s="171" t="s">
        <v>356</v>
      </c>
      <c r="E43" s="171"/>
      <c r="F43" s="188"/>
      <c r="G43" s="188"/>
      <c r="H43" s="173"/>
      <c r="I43" s="173"/>
      <c r="J43" s="174" t="str">
        <f t="shared" si="0"/>
        <v/>
      </c>
      <c r="K43" s="180" t="str">
        <f t="shared" si="1"/>
        <v/>
      </c>
      <c r="L43" s="174">
        <f>SUM(L44:L45)</f>
        <v>1324.255233888</v>
      </c>
      <c r="M43" s="175">
        <v>1.015048074406162E-2</v>
      </c>
    </row>
    <row r="44" spans="1:13" ht="24" customHeight="1" x14ac:dyDescent="0.25">
      <c r="A44" s="182" t="s">
        <v>357</v>
      </c>
      <c r="B44" s="183" t="s">
        <v>358</v>
      </c>
      <c r="C44" s="182" t="s">
        <v>269</v>
      </c>
      <c r="D44" s="182" t="s">
        <v>359</v>
      </c>
      <c r="E44" s="184" t="s">
        <v>360</v>
      </c>
      <c r="F44" s="185">
        <v>122</v>
      </c>
      <c r="G44" s="194">
        <f>ROUNDUP(F44*($G$24/122),0)</f>
        <v>83</v>
      </c>
      <c r="H44" s="186">
        <f t="shared" ref="H44:H45" si="12">IF(G44="","",I44*(1+($G$4/1)))</f>
        <v>2.4844319999999995</v>
      </c>
      <c r="I44" s="186">
        <v>2.13</v>
      </c>
      <c r="J44" s="180">
        <f t="shared" si="0"/>
        <v>3.1035524543999995</v>
      </c>
      <c r="K44" s="180">
        <f t="shared" si="1"/>
        <v>206.20785599999996</v>
      </c>
      <c r="L44" s="180">
        <f t="shared" ref="L44:L45" si="13">IF(G44="","",G44*J44)</f>
        <v>257.59485371519997</v>
      </c>
      <c r="M44" s="187">
        <v>1.9744770762421234E-3</v>
      </c>
    </row>
    <row r="45" spans="1:13" ht="26.1" customHeight="1" x14ac:dyDescent="0.25">
      <c r="A45" s="182" t="s">
        <v>361</v>
      </c>
      <c r="B45" s="183" t="s">
        <v>362</v>
      </c>
      <c r="C45" s="182" t="s">
        <v>269</v>
      </c>
      <c r="D45" s="182" t="s">
        <v>363</v>
      </c>
      <c r="E45" s="184" t="s">
        <v>360</v>
      </c>
      <c r="F45" s="185">
        <v>122</v>
      </c>
      <c r="G45" s="194">
        <f>ROUNDUP(F45*($G$24/122),0)</f>
        <v>83</v>
      </c>
      <c r="H45" s="186">
        <f t="shared" si="12"/>
        <v>10.287647999999999</v>
      </c>
      <c r="I45" s="186">
        <v>8.82</v>
      </c>
      <c r="J45" s="180">
        <f t="shared" si="0"/>
        <v>12.8513298816</v>
      </c>
      <c r="K45" s="180">
        <f t="shared" si="1"/>
        <v>853.87478399999986</v>
      </c>
      <c r="L45" s="180">
        <f t="shared" si="13"/>
        <v>1066.6603801727999</v>
      </c>
      <c r="M45" s="187">
        <v>8.1760036678194953E-3</v>
      </c>
    </row>
    <row r="46" spans="1:13" ht="24" customHeight="1" x14ac:dyDescent="0.25">
      <c r="A46" s="171" t="s">
        <v>364</v>
      </c>
      <c r="B46" s="171"/>
      <c r="C46" s="171"/>
      <c r="D46" s="171" t="s">
        <v>365</v>
      </c>
      <c r="E46" s="171"/>
      <c r="F46" s="188"/>
      <c r="G46" s="188"/>
      <c r="H46" s="173"/>
      <c r="I46" s="173"/>
      <c r="J46" s="174" t="str">
        <f t="shared" si="0"/>
        <v/>
      </c>
      <c r="K46" s="180" t="str">
        <f t="shared" si="1"/>
        <v/>
      </c>
      <c r="L46" s="174">
        <f>SUM(L47:L48)</f>
        <v>14671.616652000001</v>
      </c>
      <c r="M46" s="175">
        <v>0.13099568093587144</v>
      </c>
    </row>
    <row r="47" spans="1:13" ht="26.1" customHeight="1" x14ac:dyDescent="0.25">
      <c r="A47" s="176" t="s">
        <v>366</v>
      </c>
      <c r="B47" s="177" t="s">
        <v>367</v>
      </c>
      <c r="C47" s="176" t="s">
        <v>255</v>
      </c>
      <c r="D47" s="176" t="s">
        <v>368</v>
      </c>
      <c r="E47" s="178" t="s">
        <v>369</v>
      </c>
      <c r="F47" s="179">
        <v>72</v>
      </c>
      <c r="G47" s="194">
        <f>ROUNDUP(F47*($G$24/122),0)</f>
        <v>49</v>
      </c>
      <c r="H47" s="180">
        <v>109.19</v>
      </c>
      <c r="I47" s="180"/>
      <c r="J47" s="180">
        <f t="shared" si="0"/>
        <v>136.400148</v>
      </c>
      <c r="K47" s="180">
        <f t="shared" si="1"/>
        <v>5350.3099999999995</v>
      </c>
      <c r="L47" s="180">
        <f t="shared" ref="L47:L48" si="14">IF(G47="","",G47*J47)</f>
        <v>6683.6072519999998</v>
      </c>
      <c r="M47" s="181">
        <v>5.97348839403955E-2</v>
      </c>
    </row>
    <row r="48" spans="1:13" ht="24" customHeight="1" x14ac:dyDescent="0.25">
      <c r="A48" s="176" t="s">
        <v>370</v>
      </c>
      <c r="B48" s="177" t="s">
        <v>371</v>
      </c>
      <c r="C48" s="176" t="s">
        <v>255</v>
      </c>
      <c r="D48" s="176" t="s">
        <v>372</v>
      </c>
      <c r="E48" s="178" t="s">
        <v>369</v>
      </c>
      <c r="F48" s="179">
        <v>220</v>
      </c>
      <c r="G48" s="194">
        <f>ROUNDUP(F48*($G$24/122),0)</f>
        <v>150</v>
      </c>
      <c r="H48" s="180">
        <v>42.63</v>
      </c>
      <c r="I48" s="180"/>
      <c r="J48" s="180">
        <f t="shared" si="0"/>
        <v>53.253396000000009</v>
      </c>
      <c r="K48" s="180">
        <f t="shared" si="1"/>
        <v>6394.5</v>
      </c>
      <c r="L48" s="180">
        <f t="shared" si="14"/>
        <v>7988.0094000000017</v>
      </c>
      <c r="M48" s="181">
        <v>7.1260796995475939E-2</v>
      </c>
    </row>
    <row r="49" spans="1:13" ht="20.45" customHeight="1" x14ac:dyDescent="0.25">
      <c r="A49" s="189"/>
      <c r="B49" s="189"/>
      <c r="C49" s="189"/>
      <c r="D49" s="189"/>
      <c r="E49" s="189"/>
      <c r="F49" s="189"/>
      <c r="G49" s="189"/>
      <c r="H49" s="190"/>
      <c r="I49" s="190"/>
      <c r="J49" s="190"/>
      <c r="K49" s="190">
        <f>SUM(K9:K48)</f>
        <v>113370.1993594754</v>
      </c>
      <c r="L49" s="190">
        <f>SUM(L46,L43,L31,L14,L7)</f>
        <v>141622.05303985666</v>
      </c>
      <c r="M49" s="189"/>
    </row>
    <row r="50" spans="1:13" ht="14.45" customHeight="1" x14ac:dyDescent="0.25">
      <c r="A50" s="515" t="s">
        <v>492</v>
      </c>
      <c r="B50" s="515"/>
      <c r="C50" s="515"/>
      <c r="D50" s="515"/>
      <c r="E50" s="191"/>
      <c r="F50" s="191"/>
      <c r="G50" s="508" t="s">
        <v>373</v>
      </c>
      <c r="H50" s="512"/>
      <c r="I50" s="191"/>
      <c r="J50" s="513">
        <f>SUM(K9:K48)</f>
        <v>113370.1993594754</v>
      </c>
      <c r="K50" s="513"/>
      <c r="L50" s="512"/>
      <c r="M50" s="512"/>
    </row>
    <row r="51" spans="1:13" x14ac:dyDescent="0.25">
      <c r="A51" s="515"/>
      <c r="B51" s="515"/>
      <c r="C51" s="515"/>
      <c r="D51" s="515"/>
      <c r="E51" s="191"/>
      <c r="F51" s="191"/>
      <c r="G51" s="508" t="s">
        <v>374</v>
      </c>
      <c r="H51" s="512"/>
      <c r="I51" s="191"/>
      <c r="J51" s="513">
        <f>L49-K49</f>
        <v>28251.85368038126</v>
      </c>
      <c r="K51" s="513"/>
      <c r="L51" s="512"/>
      <c r="M51" s="512"/>
    </row>
    <row r="52" spans="1:13" x14ac:dyDescent="0.25">
      <c r="A52" s="515"/>
      <c r="B52" s="515"/>
      <c r="C52" s="515"/>
      <c r="D52" s="515"/>
      <c r="E52" s="191"/>
      <c r="F52" s="191"/>
      <c r="G52" s="508" t="s">
        <v>54</v>
      </c>
      <c r="H52" s="512"/>
      <c r="I52" s="191"/>
      <c r="J52" s="513">
        <f>SUM(J50:M51)</f>
        <v>141622.05303985666</v>
      </c>
      <c r="K52" s="513"/>
      <c r="L52" s="512"/>
      <c r="M52" s="512"/>
    </row>
    <row r="53" spans="1:13" ht="60" customHeight="1" x14ac:dyDescent="0.25">
      <c r="A53" s="192"/>
      <c r="B53" s="192"/>
      <c r="C53" s="192"/>
      <c r="D53" s="192"/>
      <c r="E53" s="192"/>
      <c r="F53" s="192"/>
      <c r="G53" s="192"/>
      <c r="H53" s="192"/>
      <c r="I53" s="192"/>
      <c r="J53" s="192"/>
      <c r="K53" s="192"/>
      <c r="L53" s="193"/>
      <c r="M53" s="192"/>
    </row>
    <row r="54" spans="1:13" ht="69.95" customHeight="1" x14ac:dyDescent="0.25">
      <c r="A54" s="514" t="s">
        <v>375</v>
      </c>
      <c r="B54" s="511"/>
      <c r="C54" s="511"/>
      <c r="D54" s="511"/>
      <c r="E54" s="511"/>
      <c r="F54" s="511"/>
      <c r="G54" s="511"/>
      <c r="H54" s="511"/>
      <c r="I54" s="511"/>
      <c r="J54" s="511"/>
      <c r="K54" s="511"/>
      <c r="L54" s="511"/>
      <c r="M54" s="511"/>
    </row>
  </sheetData>
  <mergeCells count="18">
    <mergeCell ref="A54:M54"/>
    <mergeCell ref="G51:H51"/>
    <mergeCell ref="J51:M51"/>
    <mergeCell ref="G52:H52"/>
    <mergeCell ref="J52:M52"/>
    <mergeCell ref="A50:D52"/>
    <mergeCell ref="E3:G3"/>
    <mergeCell ref="H3:J3"/>
    <mergeCell ref="L3:M3"/>
    <mergeCell ref="A5:M5"/>
    <mergeCell ref="G50:H50"/>
    <mergeCell ref="J50:M50"/>
    <mergeCell ref="E1:G1"/>
    <mergeCell ref="H1:J1"/>
    <mergeCell ref="L1:M1"/>
    <mergeCell ref="E2:G2"/>
    <mergeCell ref="H2:J2"/>
    <mergeCell ref="L2:M2"/>
  </mergeCells>
  <pageMargins left="0.23622047244094491" right="0.23622047244094491" top="0.74803149606299213" bottom="0.74803149606299213" header="0.31496062992125984" footer="0.31496062992125984"/>
  <pageSetup paperSize="9" scale="6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C21"/>
  <sheetViews>
    <sheetView workbookViewId="0">
      <selection activeCell="C29" sqref="C29"/>
    </sheetView>
  </sheetViews>
  <sheetFormatPr defaultRowHeight="15" x14ac:dyDescent="0.25"/>
  <cols>
    <col min="2" max="2" width="14.42578125" customWidth="1"/>
    <col min="3" max="3" width="33.5703125" customWidth="1"/>
  </cols>
  <sheetData>
    <row r="1" spans="2:3" ht="15.75" thickBot="1" x14ac:dyDescent="0.3"/>
    <row r="2" spans="2:3" ht="30" thickTop="1" thickBot="1" x14ac:dyDescent="0.3">
      <c r="B2" s="99" t="s">
        <v>174</v>
      </c>
      <c r="C2" s="100" t="s">
        <v>213</v>
      </c>
    </row>
    <row r="3" spans="2:3" ht="16.5" thickTop="1" thickBot="1" x14ac:dyDescent="0.3">
      <c r="B3" s="101">
        <v>44774</v>
      </c>
      <c r="C3" s="102">
        <v>1.17E-2</v>
      </c>
    </row>
    <row r="4" spans="2:3" ht="16.5" thickTop="1" thickBot="1" x14ac:dyDescent="0.3">
      <c r="B4" s="101">
        <v>44805</v>
      </c>
      <c r="C4" s="102">
        <v>1.0699999999999999E-2</v>
      </c>
    </row>
    <row r="5" spans="2:3" ht="16.5" thickTop="1" thickBot="1" x14ac:dyDescent="0.3">
      <c r="B5" s="101">
        <v>44835</v>
      </c>
      <c r="C5" s="102">
        <v>1.0200000000000001E-2</v>
      </c>
    </row>
    <row r="6" spans="2:3" ht="16.5" thickTop="1" thickBot="1" x14ac:dyDescent="0.3">
      <c r="B6" s="101">
        <v>44866</v>
      </c>
      <c r="C6" s="102">
        <v>1.0200000000000001E-2</v>
      </c>
    </row>
    <row r="7" spans="2:3" ht="16.5" thickTop="1" thickBot="1" x14ac:dyDescent="0.3">
      <c r="B7" s="101">
        <v>44896</v>
      </c>
      <c r="C7" s="102">
        <v>1.12E-2</v>
      </c>
    </row>
    <row r="8" spans="2:3" ht="16.5" thickTop="1" thickBot="1" x14ac:dyDescent="0.3">
      <c r="B8" s="101">
        <v>44927</v>
      </c>
      <c r="C8" s="102">
        <v>1.12E-2</v>
      </c>
    </row>
    <row r="9" spans="2:3" ht="16.5" thickTop="1" thickBot="1" x14ac:dyDescent="0.3">
      <c r="B9" s="101">
        <v>44958</v>
      </c>
      <c r="C9" s="102">
        <v>9.1999999999999998E-3</v>
      </c>
    </row>
    <row r="10" spans="2:3" ht="16.5" thickTop="1" thickBot="1" x14ac:dyDescent="0.3">
      <c r="B10" s="101">
        <v>44986</v>
      </c>
      <c r="C10" s="102">
        <v>1.17E-2</v>
      </c>
    </row>
    <row r="11" spans="2:3" ht="16.5" thickTop="1" thickBot="1" x14ac:dyDescent="0.3">
      <c r="B11" s="101">
        <v>45017</v>
      </c>
      <c r="C11" s="102">
        <v>9.1999999999999998E-3</v>
      </c>
    </row>
    <row r="12" spans="2:3" ht="16.5" thickTop="1" thickBot="1" x14ac:dyDescent="0.3">
      <c r="B12" s="101">
        <v>45047</v>
      </c>
      <c r="C12" s="102">
        <v>1.12E-2</v>
      </c>
    </row>
    <row r="13" spans="2:3" ht="16.5" thickTop="1" thickBot="1" x14ac:dyDescent="0.3">
      <c r="B13" s="101">
        <v>45078</v>
      </c>
      <c r="C13" s="102">
        <v>1.0699999999999999E-2</v>
      </c>
    </row>
    <row r="14" spans="2:3" ht="16.5" thickTop="1" thickBot="1" x14ac:dyDescent="0.3">
      <c r="B14" s="101">
        <v>45108</v>
      </c>
      <c r="C14" s="102">
        <v>1.0699999999999999E-2</v>
      </c>
    </row>
    <row r="15" spans="2:3" ht="16.5" thickTop="1" thickBot="1" x14ac:dyDescent="0.3">
      <c r="B15" s="103" t="s">
        <v>173</v>
      </c>
      <c r="C15" s="104">
        <f>MEDIAN(C3:C14)</f>
        <v>1.0699999999999999E-2</v>
      </c>
    </row>
    <row r="16" spans="2:3" ht="15.75" thickTop="1" x14ac:dyDescent="0.25"/>
    <row r="17" spans="2:3" x14ac:dyDescent="0.25">
      <c r="C17" s="154"/>
    </row>
    <row r="18" spans="2:3" x14ac:dyDescent="0.25">
      <c r="B18" s="516" t="s">
        <v>214</v>
      </c>
      <c r="C18" s="516"/>
    </row>
    <row r="19" spans="2:3" x14ac:dyDescent="0.25">
      <c r="B19" s="105" t="s">
        <v>175</v>
      </c>
      <c r="C19" s="106">
        <f xml:space="preserve"> (1 +C15/100)^(22/252)</f>
        <v>1.000009340813744</v>
      </c>
    </row>
    <row r="21" spans="2:3" x14ac:dyDescent="0.25">
      <c r="C21" s="106"/>
    </row>
  </sheetData>
  <mergeCells count="1">
    <mergeCell ref="B18:C18"/>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6E3AB-07FB-4B27-A57B-A9444F8D4EF4}">
  <dimension ref="B6:G28"/>
  <sheetViews>
    <sheetView tabSelected="1" workbookViewId="0">
      <selection activeCell="E16" sqref="E16"/>
    </sheetView>
  </sheetViews>
  <sheetFormatPr defaultColWidth="9.140625" defaultRowHeight="15.75" x14ac:dyDescent="0.25"/>
  <cols>
    <col min="1" max="1" width="9.140625" style="10"/>
    <col min="2" max="2" width="10.42578125" style="10" bestFit="1" customWidth="1"/>
    <col min="3" max="3" width="75.5703125" style="10" customWidth="1"/>
    <col min="4" max="4" width="17.85546875" style="10" customWidth="1"/>
    <col min="5" max="5" width="19.5703125" style="10" customWidth="1"/>
    <col min="6" max="6" width="22.85546875" style="10" customWidth="1"/>
    <col min="7" max="7" width="12.5703125" style="10" bestFit="1" customWidth="1"/>
    <col min="8" max="16384" width="9.140625" style="10"/>
  </cols>
  <sheetData>
    <row r="6" spans="2:6" ht="15.75" customHeight="1" x14ac:dyDescent="0.25">
      <c r="B6" s="394" t="s">
        <v>7</v>
      </c>
      <c r="C6" s="394"/>
      <c r="D6" s="394"/>
      <c r="E6" s="394"/>
      <c r="F6" s="394"/>
    </row>
    <row r="7" spans="2:6" ht="15.75" customHeight="1" x14ac:dyDescent="0.25">
      <c r="B7" s="394" t="s">
        <v>8</v>
      </c>
      <c r="C7" s="394"/>
      <c r="D7" s="394"/>
      <c r="E7" s="394"/>
      <c r="F7" s="394"/>
    </row>
    <row r="8" spans="2:6" ht="15.75" customHeight="1" x14ac:dyDescent="0.25">
      <c r="B8" s="394" t="str">
        <f>'Planilha Sintética'!B8:H8</f>
        <v>GRUPO TÉCNICO EM EDIFICAÇÕES - GTED/SR/PF/PI</v>
      </c>
      <c r="C8" s="394"/>
      <c r="D8" s="394"/>
      <c r="E8" s="394"/>
      <c r="F8" s="394"/>
    </row>
    <row r="9" spans="2:6" x14ac:dyDescent="0.25">
      <c r="B9" s="394"/>
      <c r="C9" s="394"/>
      <c r="D9" s="394"/>
      <c r="E9" s="394"/>
      <c r="F9" s="394"/>
    </row>
    <row r="10" spans="2:6" ht="15.75" customHeight="1" x14ac:dyDescent="0.25">
      <c r="B10" s="397" t="s">
        <v>527</v>
      </c>
      <c r="C10" s="397"/>
      <c r="D10" s="397"/>
      <c r="E10" s="397"/>
      <c r="F10" s="397"/>
    </row>
    <row r="11" spans="2:6" ht="15.75" customHeight="1" x14ac:dyDescent="0.25">
      <c r="B11" s="397" t="s">
        <v>131</v>
      </c>
      <c r="C11" s="397"/>
      <c r="D11" s="397"/>
      <c r="E11" s="397"/>
      <c r="F11" s="397"/>
    </row>
    <row r="12" spans="2:6" ht="15.75" customHeight="1" x14ac:dyDescent="0.25">
      <c r="B12" s="397" t="s">
        <v>189</v>
      </c>
      <c r="C12" s="397"/>
      <c r="D12" s="397"/>
      <c r="E12" s="397"/>
      <c r="F12" s="397"/>
    </row>
    <row r="13" spans="2:6" ht="16.5" thickBot="1" x14ac:dyDescent="0.3">
      <c r="B13" s="394"/>
      <c r="C13" s="394"/>
      <c r="D13" s="394"/>
      <c r="E13" s="394"/>
      <c r="F13" s="394"/>
    </row>
    <row r="14" spans="2:6" ht="32.25" customHeight="1" x14ac:dyDescent="0.25">
      <c r="B14" s="395" t="s">
        <v>499</v>
      </c>
      <c r="C14" s="396"/>
      <c r="D14" s="396"/>
      <c r="E14" s="396"/>
      <c r="F14" s="217" t="s">
        <v>507</v>
      </c>
    </row>
    <row r="15" spans="2:6" ht="15.75" customHeight="1" x14ac:dyDescent="0.25">
      <c r="B15" s="404" t="s">
        <v>529</v>
      </c>
      <c r="C15" s="405"/>
      <c r="D15" s="327" t="s">
        <v>192</v>
      </c>
      <c r="E15" s="517" t="s">
        <v>548</v>
      </c>
      <c r="F15" s="216" t="s">
        <v>501</v>
      </c>
    </row>
    <row r="16" spans="2:6" s="16" customFormat="1" x14ac:dyDescent="0.25">
      <c r="B16" s="134" t="s">
        <v>0</v>
      </c>
      <c r="C16" s="15" t="s">
        <v>22</v>
      </c>
      <c r="D16" s="107" t="s">
        <v>520</v>
      </c>
      <c r="E16" s="107" t="s">
        <v>505</v>
      </c>
      <c r="F16" s="139" t="s">
        <v>506</v>
      </c>
    </row>
    <row r="17" spans="2:7" s="16" customFormat="1" ht="31.5" x14ac:dyDescent="0.25">
      <c r="B17" s="134" t="s">
        <v>227</v>
      </c>
      <c r="C17" s="329" t="s">
        <v>498</v>
      </c>
      <c r="D17" s="107"/>
      <c r="E17" s="62"/>
      <c r="F17" s="139"/>
    </row>
    <row r="18" spans="2:7" x14ac:dyDescent="0.25">
      <c r="B18" s="212" t="s">
        <v>30</v>
      </c>
      <c r="C18" s="213" t="s">
        <v>400</v>
      </c>
      <c r="D18" s="107"/>
      <c r="E18" s="63"/>
      <c r="F18" s="140"/>
    </row>
    <row r="19" spans="2:7" ht="47.25" x14ac:dyDescent="0.25">
      <c r="B19" s="133"/>
      <c r="C19" s="46" t="s">
        <v>502</v>
      </c>
      <c r="D19" s="325">
        <v>0.3</v>
      </c>
      <c r="E19" s="316"/>
      <c r="F19" s="314">
        <f>E19*(1+$D$25)</f>
        <v>0</v>
      </c>
      <c r="G19" s="50"/>
    </row>
    <row r="20" spans="2:7" x14ac:dyDescent="0.25">
      <c r="B20" s="212" t="s">
        <v>23</v>
      </c>
      <c r="C20" s="213" t="s">
        <v>402</v>
      </c>
      <c r="D20" s="326"/>
      <c r="E20" s="62"/>
      <c r="F20" s="140"/>
    </row>
    <row r="21" spans="2:7" ht="47.25" x14ac:dyDescent="0.25">
      <c r="B21" s="133"/>
      <c r="C21" s="9" t="s">
        <v>503</v>
      </c>
      <c r="D21" s="325">
        <v>0.3</v>
      </c>
      <c r="E21" s="316"/>
      <c r="F21" s="314">
        <f>E21*(1+$D$25)</f>
        <v>0</v>
      </c>
    </row>
    <row r="22" spans="2:7" x14ac:dyDescent="0.25">
      <c r="B22" s="212" t="s">
        <v>31</v>
      </c>
      <c r="C22" s="213" t="s">
        <v>401</v>
      </c>
      <c r="D22" s="326"/>
      <c r="E22" s="62"/>
      <c r="F22" s="140"/>
    </row>
    <row r="23" spans="2:7" ht="80.25" customHeight="1" x14ac:dyDescent="0.25">
      <c r="B23" s="133"/>
      <c r="C23" s="9" t="s">
        <v>504</v>
      </c>
      <c r="D23" s="325">
        <v>0.4</v>
      </c>
      <c r="E23" s="316"/>
      <c r="F23" s="314">
        <f>E23*(1+$D$25)</f>
        <v>0</v>
      </c>
    </row>
    <row r="24" spans="2:7" x14ac:dyDescent="0.25">
      <c r="B24" s="133"/>
      <c r="C24" s="17" t="s">
        <v>505</v>
      </c>
      <c r="D24" s="18"/>
      <c r="E24" s="398"/>
      <c r="F24" s="399"/>
      <c r="G24" s="50"/>
    </row>
    <row r="25" spans="2:7" x14ac:dyDescent="0.25">
      <c r="B25" s="133"/>
      <c r="C25" s="17" t="s">
        <v>37</v>
      </c>
      <c r="D25" s="149">
        <f>BDI!C20</f>
        <v>0.2124998991108733</v>
      </c>
      <c r="E25" s="402">
        <f>E24*D25</f>
        <v>0</v>
      </c>
      <c r="F25" s="403"/>
    </row>
    <row r="26" spans="2:7" ht="15.95" customHeight="1" thickBot="1" x14ac:dyDescent="0.3">
      <c r="B26" s="392" t="s">
        <v>506</v>
      </c>
      <c r="C26" s="393"/>
      <c r="D26" s="145"/>
      <c r="E26" s="400">
        <f>E24+E25</f>
        <v>0</v>
      </c>
      <c r="F26" s="401"/>
    </row>
    <row r="28" spans="2:7" x14ac:dyDescent="0.25">
      <c r="F28" s="50"/>
    </row>
  </sheetData>
  <mergeCells count="14">
    <mergeCell ref="B26:C26"/>
    <mergeCell ref="E26:F26"/>
    <mergeCell ref="B12:F12"/>
    <mergeCell ref="B13:F13"/>
    <mergeCell ref="B14:E14"/>
    <mergeCell ref="B15:C15"/>
    <mergeCell ref="E24:F24"/>
    <mergeCell ref="E25:F25"/>
    <mergeCell ref="B6:F6"/>
    <mergeCell ref="B7:F7"/>
    <mergeCell ref="B8:F8"/>
    <mergeCell ref="B9:F9"/>
    <mergeCell ref="B10:F10"/>
    <mergeCell ref="B11:F11"/>
  </mergeCell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420E-106D-47A7-A72B-D503A89FD957}">
  <dimension ref="B6:G26"/>
  <sheetViews>
    <sheetView view="pageBreakPreview" zoomScale="115" zoomScaleNormal="100" zoomScaleSheetLayoutView="115" workbookViewId="0">
      <selection activeCell="D19" sqref="D19:D23"/>
    </sheetView>
  </sheetViews>
  <sheetFormatPr defaultColWidth="9.140625" defaultRowHeight="15.75" x14ac:dyDescent="0.25"/>
  <cols>
    <col min="1" max="1" width="9.140625" style="10"/>
    <col min="2" max="2" width="10.42578125" style="10" bestFit="1" customWidth="1"/>
    <col min="3" max="3" width="75.5703125" style="10" customWidth="1"/>
    <col min="4" max="4" width="14.7109375" style="10" bestFit="1" customWidth="1"/>
    <col min="5" max="5" width="16" style="10" bestFit="1" customWidth="1"/>
    <col min="6" max="6" width="17" style="10" bestFit="1" customWidth="1"/>
    <col min="7" max="7" width="12.5703125" style="10" bestFit="1" customWidth="1"/>
    <col min="8" max="16384" width="9.140625" style="10"/>
  </cols>
  <sheetData>
    <row r="6" spans="2:6" ht="15.75" customHeight="1" x14ac:dyDescent="0.25">
      <c r="B6" s="394" t="s">
        <v>7</v>
      </c>
      <c r="C6" s="394"/>
      <c r="D6" s="394"/>
      <c r="E6" s="394"/>
      <c r="F6" s="394"/>
    </row>
    <row r="7" spans="2:6" ht="15.75" customHeight="1" x14ac:dyDescent="0.25">
      <c r="B7" s="394" t="s">
        <v>8</v>
      </c>
      <c r="C7" s="394"/>
      <c r="D7" s="394"/>
      <c r="E7" s="394"/>
      <c r="F7" s="394"/>
    </row>
    <row r="8" spans="2:6" ht="15.75" customHeight="1" x14ac:dyDescent="0.25">
      <c r="B8" s="394" t="str">
        <f>'Planilha Sintética'!B8:H8</f>
        <v>GRUPO TÉCNICO EM EDIFICAÇÕES - GTED/SR/PF/PI</v>
      </c>
      <c r="C8" s="394"/>
      <c r="D8" s="394"/>
      <c r="E8" s="394"/>
      <c r="F8" s="394"/>
    </row>
    <row r="9" spans="2:6" x14ac:dyDescent="0.25">
      <c r="B9" s="394"/>
      <c r="C9" s="394"/>
      <c r="D9" s="394"/>
      <c r="E9" s="394"/>
      <c r="F9" s="394"/>
    </row>
    <row r="10" spans="2:6" ht="15.75" customHeight="1" x14ac:dyDescent="0.25">
      <c r="B10" s="397" t="s">
        <v>451</v>
      </c>
      <c r="C10" s="397"/>
      <c r="D10" s="397"/>
      <c r="E10" s="397"/>
      <c r="F10" s="397"/>
    </row>
    <row r="11" spans="2:6" ht="15.75" customHeight="1" x14ac:dyDescent="0.25">
      <c r="B11" s="397" t="s">
        <v>131</v>
      </c>
      <c r="C11" s="397"/>
      <c r="D11" s="397"/>
      <c r="E11" s="397"/>
      <c r="F11" s="397"/>
    </row>
    <row r="12" spans="2:6" ht="15.75" customHeight="1" x14ac:dyDescent="0.25">
      <c r="B12" s="397" t="s">
        <v>189</v>
      </c>
      <c r="C12" s="397"/>
      <c r="D12" s="397"/>
      <c r="E12" s="397"/>
      <c r="F12" s="397"/>
    </row>
    <row r="13" spans="2:6" ht="16.5" thickBot="1" x14ac:dyDescent="0.3">
      <c r="B13" s="394"/>
      <c r="C13" s="394"/>
      <c r="D13" s="394"/>
      <c r="E13" s="394"/>
      <c r="F13" s="394"/>
    </row>
    <row r="14" spans="2:6" ht="32.25" customHeight="1" x14ac:dyDescent="0.25">
      <c r="B14" s="395" t="s">
        <v>519</v>
      </c>
      <c r="C14" s="396"/>
      <c r="D14" s="396"/>
      <c r="E14" s="396"/>
      <c r="F14" s="217" t="s">
        <v>507</v>
      </c>
    </row>
    <row r="15" spans="2:6" ht="15.75" customHeight="1" x14ac:dyDescent="0.25">
      <c r="B15" s="138" t="str">
        <f>'Planilha Sintética'!B16</f>
        <v xml:space="preserve">PROPR: </v>
      </c>
      <c r="C15" s="137" t="s">
        <v>198</v>
      </c>
      <c r="D15" s="136" t="s">
        <v>192</v>
      </c>
      <c r="E15" s="215" t="s">
        <v>500</v>
      </c>
      <c r="F15" s="216" t="s">
        <v>501</v>
      </c>
    </row>
    <row r="16" spans="2:6" s="16" customFormat="1" ht="31.5" x14ac:dyDescent="0.25">
      <c r="B16" s="134" t="s">
        <v>0</v>
      </c>
      <c r="C16" s="15" t="s">
        <v>22</v>
      </c>
      <c r="D16" s="107" t="s">
        <v>127</v>
      </c>
      <c r="E16" s="62" t="s">
        <v>28</v>
      </c>
      <c r="F16" s="139" t="s">
        <v>29</v>
      </c>
    </row>
    <row r="17" spans="2:7" s="16" customFormat="1" ht="31.5" x14ac:dyDescent="0.25">
      <c r="B17" s="134" t="s">
        <v>227</v>
      </c>
      <c r="C17" s="162" t="s">
        <v>498</v>
      </c>
      <c r="D17" s="107"/>
      <c r="E17" s="62"/>
      <c r="F17" s="139"/>
    </row>
    <row r="18" spans="2:7" x14ac:dyDescent="0.25">
      <c r="B18" s="212" t="s">
        <v>30</v>
      </c>
      <c r="C18" s="213" t="s">
        <v>400</v>
      </c>
      <c r="D18" s="107"/>
      <c r="E18" s="63"/>
      <c r="F18" s="140"/>
    </row>
    <row r="19" spans="2:7" ht="47.25" x14ac:dyDescent="0.25">
      <c r="B19" s="133"/>
      <c r="C19" s="46" t="s">
        <v>502</v>
      </c>
      <c r="D19" s="325">
        <v>0.3</v>
      </c>
      <c r="E19" s="19"/>
      <c r="F19" s="141"/>
      <c r="G19" s="50"/>
    </row>
    <row r="20" spans="2:7" x14ac:dyDescent="0.25">
      <c r="B20" s="212" t="s">
        <v>23</v>
      </c>
      <c r="C20" s="213" t="s">
        <v>402</v>
      </c>
      <c r="D20" s="326"/>
      <c r="E20" s="63"/>
      <c r="F20" s="140"/>
    </row>
    <row r="21" spans="2:7" ht="47.25" x14ac:dyDescent="0.25">
      <c r="B21" s="133"/>
      <c r="C21" s="9" t="s">
        <v>503</v>
      </c>
      <c r="D21" s="325">
        <v>0.3</v>
      </c>
      <c r="E21" s="19"/>
      <c r="F21" s="141"/>
    </row>
    <row r="22" spans="2:7" x14ac:dyDescent="0.25">
      <c r="B22" s="212" t="s">
        <v>31</v>
      </c>
      <c r="C22" s="213" t="s">
        <v>401</v>
      </c>
      <c r="D22" s="326"/>
      <c r="E22" s="63"/>
      <c r="F22" s="140"/>
    </row>
    <row r="23" spans="2:7" ht="78.75" customHeight="1" x14ac:dyDescent="0.25">
      <c r="B23" s="133"/>
      <c r="C23" s="9" t="s">
        <v>504</v>
      </c>
      <c r="D23" s="325">
        <v>0.4</v>
      </c>
      <c r="E23" s="19"/>
      <c r="F23" s="141"/>
    </row>
    <row r="24" spans="2:7" x14ac:dyDescent="0.25">
      <c r="B24" s="133"/>
      <c r="C24" s="17" t="s">
        <v>505</v>
      </c>
      <c r="D24" s="18"/>
      <c r="E24" s="19"/>
      <c r="F24" s="142"/>
      <c r="G24" s="50"/>
    </row>
    <row r="25" spans="2:7" x14ac:dyDescent="0.25">
      <c r="B25" s="133"/>
      <c r="C25" s="17" t="s">
        <v>37</v>
      </c>
      <c r="D25" s="18"/>
      <c r="E25" s="19"/>
      <c r="F25" s="142"/>
    </row>
    <row r="26" spans="2:7" ht="15.95" customHeight="1" thickBot="1" x14ac:dyDescent="0.3">
      <c r="B26" s="406" t="s">
        <v>506</v>
      </c>
      <c r="C26" s="407"/>
      <c r="D26" s="145"/>
      <c r="E26" s="146"/>
      <c r="F26" s="147"/>
    </row>
  </sheetData>
  <mergeCells count="10">
    <mergeCell ref="B12:F12"/>
    <mergeCell ref="B13:F13"/>
    <mergeCell ref="B14:E14"/>
    <mergeCell ref="B26:C26"/>
    <mergeCell ref="B6:F6"/>
    <mergeCell ref="B7:F7"/>
    <mergeCell ref="B8:F8"/>
    <mergeCell ref="B9:F9"/>
    <mergeCell ref="B10:F10"/>
    <mergeCell ref="B11:F11"/>
  </mergeCells>
  <printOptions horizontalCentered="1"/>
  <pageMargins left="0.39370078740157483" right="0.39370078740157483" top="0.39370078740157483" bottom="0.39370078740157483"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6:K42"/>
  <sheetViews>
    <sheetView view="pageBreakPreview" zoomScaleNormal="100" zoomScaleSheetLayoutView="100" workbookViewId="0">
      <selection activeCell="C27" sqref="C27"/>
    </sheetView>
  </sheetViews>
  <sheetFormatPr defaultColWidth="9.140625" defaultRowHeight="15.75" x14ac:dyDescent="0.25"/>
  <cols>
    <col min="1" max="1" width="9.140625" style="10"/>
    <col min="2" max="2" width="16.5703125" style="10" customWidth="1"/>
    <col min="3" max="3" width="86.85546875" style="10" customWidth="1"/>
    <col min="4" max="4" width="10.85546875" style="10" customWidth="1"/>
    <col min="5" max="5" width="12.42578125" style="10" customWidth="1"/>
    <col min="6" max="6" width="12.140625" style="10" customWidth="1"/>
    <col min="7" max="7" width="15.42578125" style="10" customWidth="1"/>
    <col min="8" max="8" width="13.5703125" style="10" customWidth="1"/>
    <col min="9" max="10" width="9.140625" style="10"/>
    <col min="11" max="11" width="21.140625" style="10" customWidth="1"/>
    <col min="12" max="18" width="9.140625" style="10"/>
    <col min="19" max="19" width="9.28515625" style="10" customWidth="1"/>
    <col min="20" max="20" width="11.140625" style="10" bestFit="1" customWidth="1"/>
    <col min="21" max="16384" width="9.140625" style="10"/>
  </cols>
  <sheetData>
    <row r="6" spans="2:8" ht="15.75" customHeight="1" x14ac:dyDescent="0.25">
      <c r="B6" s="394" t="s">
        <v>7</v>
      </c>
      <c r="C6" s="394"/>
      <c r="D6" s="394"/>
      <c r="E6" s="394"/>
      <c r="F6" s="394"/>
      <c r="G6" s="394"/>
      <c r="H6" s="394"/>
    </row>
    <row r="7" spans="2:8" ht="15.75" customHeight="1" x14ac:dyDescent="0.25">
      <c r="B7" s="394" t="s">
        <v>8</v>
      </c>
      <c r="C7" s="394"/>
      <c r="D7" s="394"/>
      <c r="E7" s="394"/>
      <c r="F7" s="394"/>
      <c r="G7" s="394"/>
      <c r="H7" s="394"/>
    </row>
    <row r="8" spans="2:8" ht="15.75" customHeight="1" x14ac:dyDescent="0.25">
      <c r="B8" s="394" t="s">
        <v>496</v>
      </c>
      <c r="C8" s="394"/>
      <c r="D8" s="394"/>
      <c r="E8" s="394"/>
      <c r="F8" s="394"/>
      <c r="G8" s="394"/>
      <c r="H8" s="394"/>
    </row>
    <row r="9" spans="2:8" x14ac:dyDescent="0.25">
      <c r="B9" s="394"/>
      <c r="C9" s="394"/>
      <c r="D9" s="394"/>
      <c r="E9" s="394"/>
      <c r="F9" s="394"/>
      <c r="G9" s="394"/>
      <c r="H9" s="394"/>
    </row>
    <row r="10" spans="2:8" ht="15.75" customHeight="1" x14ac:dyDescent="0.25">
      <c r="B10" s="397" t="str">
        <f>'Planilha Orçamentária'!B10:F10</f>
        <v>ANEXO I</v>
      </c>
      <c r="C10" s="397"/>
      <c r="D10" s="397"/>
      <c r="E10" s="397"/>
      <c r="F10" s="397"/>
      <c r="G10" s="397"/>
      <c r="H10" s="397"/>
    </row>
    <row r="11" spans="2:8" ht="15.75" customHeight="1" x14ac:dyDescent="0.25">
      <c r="B11" s="397" t="str">
        <f>'Mem. Calc.'!B11</f>
        <v>PLANILHA DE COMPOSIÇÃO DOS CUSTOS UNITÁRIOS</v>
      </c>
      <c r="C11" s="397"/>
      <c r="D11" s="397"/>
      <c r="E11" s="397"/>
      <c r="F11" s="397"/>
      <c r="G11" s="397"/>
      <c r="H11" s="397"/>
    </row>
    <row r="12" spans="2:8" ht="15.75" customHeight="1" x14ac:dyDescent="0.25">
      <c r="B12" s="397" t="s">
        <v>200</v>
      </c>
      <c r="C12" s="397"/>
      <c r="D12" s="397"/>
      <c r="E12" s="397"/>
      <c r="F12" s="397"/>
      <c r="G12" s="397"/>
      <c r="H12" s="397"/>
    </row>
    <row r="13" spans="2:8" ht="16.5" thickBot="1" x14ac:dyDescent="0.3">
      <c r="B13" s="394"/>
      <c r="C13" s="394"/>
      <c r="D13" s="394"/>
      <c r="E13" s="394"/>
      <c r="F13" s="394"/>
      <c r="G13" s="394"/>
    </row>
    <row r="14" spans="2:8" x14ac:dyDescent="0.25">
      <c r="B14" s="421" t="s">
        <v>194</v>
      </c>
      <c r="C14" s="422"/>
      <c r="D14" s="422" t="s">
        <v>195</v>
      </c>
      <c r="E14" s="422"/>
      <c r="F14" s="132" t="s">
        <v>37</v>
      </c>
      <c r="G14" s="422" t="s">
        <v>197</v>
      </c>
      <c r="H14" s="423"/>
    </row>
    <row r="15" spans="2:8" ht="35.25" customHeight="1" x14ac:dyDescent="0.25">
      <c r="B15" s="419" t="str">
        <f>'Planilha Orçamentária'!B14:E14</f>
        <v>Contratação de empresa especializada em Engenharia e Arquitetura para elaboração de projetos básicos e executivos para construção de Centro de Treinamento Policial na sede atua da DPF/PHB/PI</v>
      </c>
      <c r="C15" s="420"/>
      <c r="D15" s="408" t="s">
        <v>196</v>
      </c>
      <c r="E15" s="408"/>
      <c r="F15" s="149">
        <f>Composição_BDI!J20</f>
        <v>0.2124998991108733</v>
      </c>
      <c r="G15" s="417" t="str">
        <f>'Planilha Orçamentária'!F15</f>
        <v>NÃO DESONERADO</v>
      </c>
      <c r="H15" s="418"/>
    </row>
    <row r="16" spans="2:8" x14ac:dyDescent="0.25">
      <c r="B16" s="155" t="s">
        <v>193</v>
      </c>
      <c r="C16" s="408">
        <f>'Planilha Orçamentária'!C15</f>
        <v>0</v>
      </c>
      <c r="D16" s="408"/>
      <c r="E16" s="408"/>
      <c r="F16" s="408"/>
      <c r="G16" s="411" t="s">
        <v>495</v>
      </c>
      <c r="H16" s="412"/>
    </row>
    <row r="17" spans="2:11" x14ac:dyDescent="0.25">
      <c r="B17" s="156" t="s">
        <v>191</v>
      </c>
      <c r="C17" s="408" t="str">
        <f>'Planilha Orçamentária'!F14</f>
        <v>PARNAIBA/PI</v>
      </c>
      <c r="D17" s="408"/>
      <c r="E17" s="408"/>
      <c r="F17" s="408"/>
      <c r="G17" s="413"/>
      <c r="H17" s="414"/>
    </row>
    <row r="18" spans="2:11" x14ac:dyDescent="0.25">
      <c r="B18" s="155" t="s">
        <v>192</v>
      </c>
      <c r="C18" s="408" t="str">
        <f>'Planilha Orçamentária'!E15</f>
        <v xml:space="preserve"> AGOSTO/2023</v>
      </c>
      <c r="D18" s="408"/>
      <c r="E18" s="408"/>
      <c r="F18" s="408"/>
      <c r="G18" s="415"/>
      <c r="H18" s="416"/>
    </row>
    <row r="19" spans="2:11" s="16" customFormat="1" ht="47.25" x14ac:dyDescent="0.25">
      <c r="B19" s="134" t="s">
        <v>0</v>
      </c>
      <c r="C19" s="11" t="s">
        <v>22</v>
      </c>
      <c r="D19" s="15" t="s">
        <v>26</v>
      </c>
      <c r="E19" s="107" t="s">
        <v>27</v>
      </c>
      <c r="F19" s="62" t="s">
        <v>28</v>
      </c>
      <c r="G19" s="107" t="s">
        <v>199</v>
      </c>
      <c r="H19" s="139" t="s">
        <v>201</v>
      </c>
    </row>
    <row r="20" spans="2:11" s="16" customFormat="1" ht="36" customHeight="1" x14ac:dyDescent="0.25">
      <c r="B20" s="134" t="str">
        <f>'Planilha Orçamentária'!B17</f>
        <v>1.0</v>
      </c>
      <c r="C20" s="11" t="str">
        <f>'Planilha Orçamentária'!C17</f>
        <v>Contratação dos projetos básicos e executivos para construção de Centro de Treinamento Policial na sede atual da DPF/PHB/PI</v>
      </c>
      <c r="D20" s="11"/>
      <c r="E20" s="11"/>
      <c r="F20" s="11"/>
      <c r="G20" s="11"/>
      <c r="H20" s="220"/>
    </row>
    <row r="21" spans="2:11" ht="15.75" customHeight="1" x14ac:dyDescent="0.25">
      <c r="B21" s="212" t="s">
        <v>30</v>
      </c>
      <c r="C21" s="9" t="s">
        <v>176</v>
      </c>
      <c r="D21" s="12" t="s">
        <v>190</v>
      </c>
      <c r="E21" s="13">
        <v>1</v>
      </c>
      <c r="F21" s="19">
        <f>'Mem. Calc.'!J19</f>
        <v>3341.428337062006</v>
      </c>
      <c r="G21" s="19">
        <f t="shared" ref="G21:G27" si="0">E21*F21</f>
        <v>3341.428337062006</v>
      </c>
      <c r="H21" s="150">
        <f t="shared" ref="H21:H27" si="1">G21/$G$28</f>
        <v>0.50301214149357942</v>
      </c>
      <c r="K21" s="16"/>
    </row>
    <row r="22" spans="2:11" ht="15.75" customHeight="1" x14ac:dyDescent="0.25">
      <c r="B22" s="212" t="s">
        <v>23</v>
      </c>
      <c r="C22" s="9" t="str">
        <f>'Mem. Calc.'!C30</f>
        <v>Projeto de Elétrica de Energia de Rede Comum (ERC)</v>
      </c>
      <c r="D22" s="12" t="s">
        <v>190</v>
      </c>
      <c r="E22" s="13">
        <v>1</v>
      </c>
      <c r="F22" s="19">
        <f>'Mem. Calc.'!J43</f>
        <v>1176.6212096817783</v>
      </c>
      <c r="G22" s="14">
        <f t="shared" si="0"/>
        <v>1176.6212096817783</v>
      </c>
      <c r="H22" s="150">
        <f t="shared" si="1"/>
        <v>0.17712627496575106</v>
      </c>
      <c r="K22" s="16"/>
    </row>
    <row r="23" spans="2:11" ht="15.75" customHeight="1" x14ac:dyDescent="0.25">
      <c r="B23" s="212" t="s">
        <v>31</v>
      </c>
      <c r="C23" s="9" t="str">
        <f>'Mem. Calc.'!C44</f>
        <v>Projeto de Climatização</v>
      </c>
      <c r="D23" s="12" t="s">
        <v>190</v>
      </c>
      <c r="E23" s="13">
        <v>1</v>
      </c>
      <c r="F23" s="19">
        <f>'Mem. Calc.'!J46</f>
        <v>637.75608383803012</v>
      </c>
      <c r="G23" s="14">
        <f t="shared" si="0"/>
        <v>637.75608383803012</v>
      </c>
      <c r="H23" s="150">
        <f t="shared" si="1"/>
        <v>9.6006563996519231E-2</v>
      </c>
      <c r="K23" s="16"/>
    </row>
    <row r="24" spans="2:11" ht="15.75" customHeight="1" x14ac:dyDescent="0.25">
      <c r="B24" s="212" t="s">
        <v>417</v>
      </c>
      <c r="C24" s="9" t="s">
        <v>141</v>
      </c>
      <c r="D24" s="12" t="s">
        <v>190</v>
      </c>
      <c r="E24" s="13">
        <v>1</v>
      </c>
      <c r="F24" s="19">
        <f>'Mem. Calc.'!$J$53*0.3</f>
        <v>446.10981167018628</v>
      </c>
      <c r="G24" s="14">
        <f t="shared" si="0"/>
        <v>446.10981167018628</v>
      </c>
      <c r="H24" s="150">
        <f t="shared" si="1"/>
        <v>6.7156505863245064E-2</v>
      </c>
      <c r="K24" s="16"/>
    </row>
    <row r="25" spans="2:11" ht="35.1" customHeight="1" x14ac:dyDescent="0.25">
      <c r="B25" s="212" t="s">
        <v>418</v>
      </c>
      <c r="C25" s="9" t="s">
        <v>34</v>
      </c>
      <c r="D25" s="12" t="s">
        <v>190</v>
      </c>
      <c r="E25" s="13">
        <v>1</v>
      </c>
      <c r="F25" s="19">
        <f>'Mem. Calc.'!$J$53*0.3</f>
        <v>446.10981167018628</v>
      </c>
      <c r="G25" s="14">
        <f t="shared" si="0"/>
        <v>446.10981167018628</v>
      </c>
      <c r="H25" s="150">
        <f t="shared" si="1"/>
        <v>6.7156505863245064E-2</v>
      </c>
      <c r="K25" s="16"/>
    </row>
    <row r="26" spans="2:11" ht="15.75" customHeight="1" x14ac:dyDescent="0.25">
      <c r="B26" s="212" t="s">
        <v>419</v>
      </c>
      <c r="C26" s="9" t="s">
        <v>32</v>
      </c>
      <c r="D26" s="12" t="s">
        <v>190</v>
      </c>
      <c r="E26" s="13">
        <v>1</v>
      </c>
      <c r="F26" s="19">
        <f>'Mem. Calc.'!$J$51*0.2</f>
        <v>297.40654111345754</v>
      </c>
      <c r="G26" s="14">
        <f t="shared" si="0"/>
        <v>297.40654111345754</v>
      </c>
      <c r="H26" s="150">
        <f t="shared" si="1"/>
        <v>4.4771003908830043E-2</v>
      </c>
      <c r="K26" s="16"/>
    </row>
    <row r="27" spans="2:11" ht="15.75" customHeight="1" x14ac:dyDescent="0.25">
      <c r="B27" s="212" t="s">
        <v>420</v>
      </c>
      <c r="C27" s="9" t="s">
        <v>33</v>
      </c>
      <c r="D27" s="12" t="s">
        <v>190</v>
      </c>
      <c r="E27" s="13">
        <v>1</v>
      </c>
      <c r="F27" s="19">
        <f>'Mem. Calc.'!$J$51*0.2</f>
        <v>297.40654111345754</v>
      </c>
      <c r="G27" s="14">
        <f t="shared" si="0"/>
        <v>297.40654111345754</v>
      </c>
      <c r="H27" s="150">
        <f t="shared" si="1"/>
        <v>4.4771003908830043E-2</v>
      </c>
      <c r="K27" s="16"/>
    </row>
    <row r="28" spans="2:11" ht="15.75" customHeight="1" x14ac:dyDescent="0.25">
      <c r="B28" s="409" t="s">
        <v>36</v>
      </c>
      <c r="C28" s="410"/>
      <c r="D28" s="11"/>
      <c r="E28" s="11"/>
      <c r="F28" s="11"/>
      <c r="G28" s="148">
        <f>SUM(G21:G27)</f>
        <v>6642.8383361491024</v>
      </c>
      <c r="H28" s="151"/>
      <c r="K28" s="16"/>
    </row>
    <row r="29" spans="2:11" x14ac:dyDescent="0.25">
      <c r="B29" s="409" t="s">
        <v>37</v>
      </c>
      <c r="C29" s="410"/>
      <c r="D29" s="12" t="s">
        <v>35</v>
      </c>
      <c r="E29" s="18">
        <f>BDI!C20</f>
        <v>0.2124998991108733</v>
      </c>
      <c r="F29" s="19"/>
      <c r="G29" s="148">
        <f>G28*E29</f>
        <v>1411.6024762415257</v>
      </c>
      <c r="H29" s="151"/>
      <c r="K29" s="16"/>
    </row>
    <row r="30" spans="2:11" ht="15.75" customHeight="1" thickBot="1" x14ac:dyDescent="0.3">
      <c r="B30" s="406" t="s">
        <v>426</v>
      </c>
      <c r="C30" s="407"/>
      <c r="D30" s="221"/>
      <c r="E30" s="221"/>
      <c r="F30" s="221"/>
      <c r="G30" s="152">
        <f>SUM(G28:G29)</f>
        <v>8054.4408123906278</v>
      </c>
      <c r="H30" s="153"/>
      <c r="K30" s="16"/>
    </row>
    <row r="31" spans="2:11" x14ac:dyDescent="0.25">
      <c r="B31" s="134" t="e">
        <f>'Mem. Calc.'!#REF!</f>
        <v>#REF!</v>
      </c>
      <c r="C31" s="11" t="e">
        <f>'Mem. Calc.'!#REF!</f>
        <v>#REF!</v>
      </c>
      <c r="D31" s="11"/>
      <c r="E31" s="11"/>
      <c r="F31" s="11"/>
      <c r="G31" s="11"/>
      <c r="H31" s="220"/>
      <c r="K31" s="16"/>
    </row>
    <row r="32" spans="2:11" x14ac:dyDescent="0.25">
      <c r="B32" s="212" t="s">
        <v>186</v>
      </c>
      <c r="C32" s="9" t="s">
        <v>416</v>
      </c>
      <c r="D32" s="12" t="s">
        <v>190</v>
      </c>
      <c r="E32" s="13">
        <v>1</v>
      </c>
      <c r="F32" s="19" t="e">
        <f>'Mem. Calc.'!#REF!</f>
        <v>#REF!</v>
      </c>
      <c r="G32" s="19" t="e">
        <f t="shared" ref="G32:G38" si="2">E32*F32</f>
        <v>#REF!</v>
      </c>
      <c r="H32" s="150" t="e">
        <f t="shared" ref="H32:H38" si="3">G32/$G$39</f>
        <v>#REF!</v>
      </c>
    </row>
    <row r="33" spans="2:8" x14ac:dyDescent="0.25">
      <c r="B33" s="212" t="s">
        <v>228</v>
      </c>
      <c r="C33" s="9" t="s">
        <v>421</v>
      </c>
      <c r="D33" s="12" t="s">
        <v>190</v>
      </c>
      <c r="E33" s="13">
        <v>1</v>
      </c>
      <c r="F33" s="19" t="e">
        <f>'Mem. Calc.'!#REF!</f>
        <v>#REF!</v>
      </c>
      <c r="G33" s="14" t="e">
        <f t="shared" si="2"/>
        <v>#REF!</v>
      </c>
      <c r="H33" s="150" t="e">
        <f t="shared" si="3"/>
        <v>#REF!</v>
      </c>
    </row>
    <row r="34" spans="2:8" x14ac:dyDescent="0.25">
      <c r="B34" s="212" t="s">
        <v>383</v>
      </c>
      <c r="C34" s="9" t="e">
        <f>'Mem. Calc.'!#REF!</f>
        <v>#REF!</v>
      </c>
      <c r="D34" s="12" t="s">
        <v>190</v>
      </c>
      <c r="E34" s="13">
        <v>1</v>
      </c>
      <c r="F34" s="19" t="e">
        <f>'Mem. Calc.'!#REF!</f>
        <v>#REF!</v>
      </c>
      <c r="G34" s="14" t="e">
        <f>E34*F34</f>
        <v>#REF!</v>
      </c>
      <c r="H34" s="150" t="e">
        <f t="shared" si="3"/>
        <v>#REF!</v>
      </c>
    </row>
    <row r="35" spans="2:8" x14ac:dyDescent="0.25">
      <c r="B35" s="212" t="s">
        <v>422</v>
      </c>
      <c r="C35" s="9" t="s">
        <v>141</v>
      </c>
      <c r="D35" s="12" t="s">
        <v>190</v>
      </c>
      <c r="E35" s="13">
        <v>1</v>
      </c>
      <c r="F35" s="19" t="e">
        <f>'Mem. Calc.'!#REF!*0.3</f>
        <v>#REF!</v>
      </c>
      <c r="G35" s="14" t="e">
        <f t="shared" si="2"/>
        <v>#REF!</v>
      </c>
      <c r="H35" s="150" t="e">
        <f t="shared" si="3"/>
        <v>#REF!</v>
      </c>
    </row>
    <row r="36" spans="2:8" ht="33.6" customHeight="1" x14ac:dyDescent="0.25">
      <c r="B36" s="212" t="s">
        <v>423</v>
      </c>
      <c r="C36" s="9" t="s">
        <v>34</v>
      </c>
      <c r="D36" s="12" t="s">
        <v>190</v>
      </c>
      <c r="E36" s="13">
        <v>1</v>
      </c>
      <c r="F36" s="19" t="e">
        <f>'Mem. Calc.'!#REF!*0.3</f>
        <v>#REF!</v>
      </c>
      <c r="G36" s="14" t="e">
        <f t="shared" si="2"/>
        <v>#REF!</v>
      </c>
      <c r="H36" s="150" t="e">
        <f t="shared" si="3"/>
        <v>#REF!</v>
      </c>
    </row>
    <row r="37" spans="2:8" x14ac:dyDescent="0.25">
      <c r="B37" s="212" t="s">
        <v>424</v>
      </c>
      <c r="C37" s="9" t="s">
        <v>32</v>
      </c>
      <c r="D37" s="12" t="s">
        <v>190</v>
      </c>
      <c r="E37" s="13">
        <v>1</v>
      </c>
      <c r="F37" s="19" t="e">
        <f>'Mem. Calc.'!#REF!*0.2</f>
        <v>#REF!</v>
      </c>
      <c r="G37" s="14" t="e">
        <f t="shared" si="2"/>
        <v>#REF!</v>
      </c>
      <c r="H37" s="150" t="e">
        <f t="shared" si="3"/>
        <v>#REF!</v>
      </c>
    </row>
    <row r="38" spans="2:8" x14ac:dyDescent="0.25">
      <c r="B38" s="212" t="s">
        <v>425</v>
      </c>
      <c r="C38" s="9" t="s">
        <v>33</v>
      </c>
      <c r="D38" s="12" t="s">
        <v>190</v>
      </c>
      <c r="E38" s="13">
        <v>1</v>
      </c>
      <c r="F38" s="19" t="e">
        <f>'Mem. Calc.'!#REF!*0.2</f>
        <v>#REF!</v>
      </c>
      <c r="G38" s="14" t="e">
        <f t="shared" si="2"/>
        <v>#REF!</v>
      </c>
      <c r="H38" s="150" t="e">
        <f t="shared" si="3"/>
        <v>#REF!</v>
      </c>
    </row>
    <row r="39" spans="2:8" ht="15.6" customHeight="1" x14ac:dyDescent="0.25">
      <c r="B39" s="409" t="s">
        <v>36</v>
      </c>
      <c r="C39" s="410"/>
      <c r="D39" s="11"/>
      <c r="E39" s="11"/>
      <c r="F39" s="11"/>
      <c r="G39" s="148" t="e">
        <f>SUM(G32:G38)</f>
        <v>#REF!</v>
      </c>
      <c r="H39" s="151"/>
    </row>
    <row r="40" spans="2:8" x14ac:dyDescent="0.25">
      <c r="B40" s="409" t="s">
        <v>37</v>
      </c>
      <c r="C40" s="410"/>
      <c r="D40" s="12" t="s">
        <v>35</v>
      </c>
      <c r="E40" s="18">
        <f>BDI!C20</f>
        <v>0.2124998991108733</v>
      </c>
      <c r="F40" s="19"/>
      <c r="G40" s="148" t="e">
        <f>G39*E40</f>
        <v>#REF!</v>
      </c>
      <c r="H40" s="151"/>
    </row>
    <row r="41" spans="2:8" ht="15.95" customHeight="1" thickBot="1" x14ac:dyDescent="0.3">
      <c r="B41" s="406" t="s">
        <v>426</v>
      </c>
      <c r="C41" s="407"/>
      <c r="D41" s="221"/>
      <c r="E41" s="221"/>
      <c r="F41" s="221"/>
      <c r="G41" s="152" t="e">
        <f>SUM(G39:G40)</f>
        <v>#REF!</v>
      </c>
      <c r="H41" s="153"/>
    </row>
    <row r="42" spans="2:8" ht="16.5" thickBot="1" x14ac:dyDescent="0.3">
      <c r="B42" s="406" t="s">
        <v>38</v>
      </c>
      <c r="C42" s="407"/>
      <c r="D42" s="221"/>
      <c r="E42" s="221"/>
      <c r="F42" s="221"/>
      <c r="G42" s="152" t="e">
        <f>SUM(G41,G30)</f>
        <v>#REF!</v>
      </c>
      <c r="H42" s="153"/>
    </row>
  </sheetData>
  <autoFilter ref="B19:H19" xr:uid="{00000000-0009-0000-0000-000000000000}">
    <filterColumn colId="0" showButton="0"/>
  </autoFilter>
  <mergeCells count="25">
    <mergeCell ref="B11:H11"/>
    <mergeCell ref="B12:H12"/>
    <mergeCell ref="B15:C15"/>
    <mergeCell ref="B14:C14"/>
    <mergeCell ref="G14:H14"/>
    <mergeCell ref="B13:G13"/>
    <mergeCell ref="D14:E14"/>
    <mergeCell ref="D15:E15"/>
    <mergeCell ref="B6:H6"/>
    <mergeCell ref="B7:H7"/>
    <mergeCell ref="B8:H8"/>
    <mergeCell ref="B9:H9"/>
    <mergeCell ref="B10:H10"/>
    <mergeCell ref="C16:F16"/>
    <mergeCell ref="B29:C29"/>
    <mergeCell ref="G16:H18"/>
    <mergeCell ref="G15:H15"/>
    <mergeCell ref="B42:C42"/>
    <mergeCell ref="B41:C41"/>
    <mergeCell ref="C18:F18"/>
    <mergeCell ref="B40:C40"/>
    <mergeCell ref="B30:C30"/>
    <mergeCell ref="B28:C28"/>
    <mergeCell ref="B39:C39"/>
    <mergeCell ref="C17:F17"/>
  </mergeCells>
  <phoneticPr fontId="5" type="noConversion"/>
  <printOptions horizontalCentered="1"/>
  <pageMargins left="0.39370078740157483" right="0.39370078740157483" top="0.39370078740157483" bottom="0.39370078740157483"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6:I45"/>
  <sheetViews>
    <sheetView view="pageBreakPreview" topLeftCell="A15" zoomScale="130" zoomScaleNormal="100" zoomScaleSheetLayoutView="130" workbookViewId="0">
      <selection activeCell="B40" sqref="B40"/>
    </sheetView>
  </sheetViews>
  <sheetFormatPr defaultColWidth="9.140625" defaultRowHeight="15.75" x14ac:dyDescent="0.25"/>
  <cols>
    <col min="1" max="1" width="9.140625" style="1"/>
    <col min="2" max="2" width="77.85546875" style="1" customWidth="1"/>
    <col min="3" max="3" width="12" style="1" bestFit="1" customWidth="1"/>
    <col min="4" max="16384" width="9.140625" style="1"/>
  </cols>
  <sheetData>
    <row r="6" spans="1:9" x14ac:dyDescent="0.25">
      <c r="A6" s="424" t="s">
        <v>7</v>
      </c>
      <c r="B6" s="424"/>
      <c r="C6" s="424"/>
    </row>
    <row r="7" spans="1:9" x14ac:dyDescent="0.25">
      <c r="A7" s="424" t="s">
        <v>8</v>
      </c>
      <c r="B7" s="424"/>
      <c r="C7" s="424"/>
    </row>
    <row r="8" spans="1:9" ht="15.75" customHeight="1" x14ac:dyDescent="0.25">
      <c r="A8" s="394" t="s">
        <v>496</v>
      </c>
      <c r="B8" s="394"/>
      <c r="C8" s="394"/>
      <c r="D8" s="10"/>
      <c r="E8" s="10"/>
      <c r="F8" s="10"/>
      <c r="G8" s="10"/>
      <c r="H8" s="10"/>
      <c r="I8" s="10"/>
    </row>
    <row r="10" spans="1:9" x14ac:dyDescent="0.25">
      <c r="B10" s="8" t="s">
        <v>132</v>
      </c>
    </row>
    <row r="11" spans="1:9" x14ac:dyDescent="0.25">
      <c r="B11" s="8" t="s">
        <v>25</v>
      </c>
    </row>
    <row r="12" spans="1:9" ht="16.5" thickBot="1" x14ac:dyDescent="0.3">
      <c r="B12" s="8"/>
    </row>
    <row r="13" spans="1:9" x14ac:dyDescent="0.25">
      <c r="A13" s="352" t="s">
        <v>0</v>
      </c>
      <c r="B13" s="353" t="s">
        <v>1</v>
      </c>
      <c r="C13" s="354" t="s">
        <v>2</v>
      </c>
    </row>
    <row r="14" spans="1:9" x14ac:dyDescent="0.25">
      <c r="A14" s="355">
        <v>1</v>
      </c>
      <c r="B14" s="356" t="s">
        <v>105</v>
      </c>
      <c r="C14" s="357">
        <v>0.03</v>
      </c>
    </row>
    <row r="15" spans="1:9" x14ac:dyDescent="0.25">
      <c r="A15" s="355">
        <v>2</v>
      </c>
      <c r="B15" s="356" t="s">
        <v>106</v>
      </c>
      <c r="C15" s="357">
        <v>8.0000000000000002E-3</v>
      </c>
    </row>
    <row r="16" spans="1:9" x14ac:dyDescent="0.25">
      <c r="A16" s="355">
        <v>3</v>
      </c>
      <c r="B16" s="356" t="s">
        <v>110</v>
      </c>
      <c r="C16" s="357">
        <v>9.7000000000000003E-3</v>
      </c>
    </row>
    <row r="17" spans="1:4" x14ac:dyDescent="0.25">
      <c r="A17" s="355">
        <v>4</v>
      </c>
      <c r="B17" s="356" t="s">
        <v>107</v>
      </c>
      <c r="C17" s="357">
        <v>5.8999999999999999E-3</v>
      </c>
    </row>
    <row r="18" spans="1:4" x14ac:dyDescent="0.25">
      <c r="A18" s="355">
        <v>5</v>
      </c>
      <c r="B18" s="356" t="s">
        <v>108</v>
      </c>
      <c r="C18" s="357">
        <f>C27</f>
        <v>6.6500000000000004E-2</v>
      </c>
    </row>
    <row r="19" spans="1:4" x14ac:dyDescent="0.25">
      <c r="A19" s="355">
        <v>6</v>
      </c>
      <c r="B19" s="356" t="s">
        <v>109</v>
      </c>
      <c r="C19" s="357">
        <v>7.3999999999999996E-2</v>
      </c>
    </row>
    <row r="20" spans="1:4" x14ac:dyDescent="0.25">
      <c r="A20" s="425" t="s">
        <v>3</v>
      </c>
      <c r="B20" s="426"/>
      <c r="C20" s="358">
        <f>(1+AC+S+RISCO)*(1+DF)*(1+LUCRO)/(1-I)-1</f>
        <v>0.2124998991108733</v>
      </c>
    </row>
    <row r="21" spans="1:4" x14ac:dyDescent="0.25">
      <c r="A21" s="355"/>
      <c r="B21" s="359" t="s">
        <v>20</v>
      </c>
      <c r="C21" s="360"/>
    </row>
    <row r="22" spans="1:4" x14ac:dyDescent="0.25">
      <c r="A22" s="355">
        <v>5</v>
      </c>
      <c r="B22" s="359" t="s">
        <v>9</v>
      </c>
      <c r="C22" s="361" t="s">
        <v>2</v>
      </c>
    </row>
    <row r="23" spans="1:4" x14ac:dyDescent="0.25">
      <c r="A23" s="362" t="s">
        <v>16</v>
      </c>
      <c r="B23" s="363" t="s">
        <v>203</v>
      </c>
      <c r="C23" s="357">
        <v>0.03</v>
      </c>
    </row>
    <row r="24" spans="1:4" x14ac:dyDescent="0.25">
      <c r="A24" s="362" t="s">
        <v>17</v>
      </c>
      <c r="B24" s="363" t="s">
        <v>5</v>
      </c>
      <c r="C24" s="357">
        <v>6.4999999999999997E-3</v>
      </c>
    </row>
    <row r="25" spans="1:4" x14ac:dyDescent="0.25">
      <c r="A25" s="362" t="s">
        <v>18</v>
      </c>
      <c r="B25" s="363" t="s">
        <v>6</v>
      </c>
      <c r="C25" s="357">
        <v>0.03</v>
      </c>
    </row>
    <row r="26" spans="1:4" x14ac:dyDescent="0.25">
      <c r="A26" s="362" t="s">
        <v>202</v>
      </c>
      <c r="B26" s="363" t="s">
        <v>204</v>
      </c>
      <c r="C26" s="357">
        <v>0</v>
      </c>
    </row>
    <row r="27" spans="1:4" ht="16.5" thickBot="1" x14ac:dyDescent="0.3">
      <c r="A27" s="364"/>
      <c r="B27" s="365" t="s">
        <v>4</v>
      </c>
      <c r="C27" s="366">
        <f>SUM(C23:C26)</f>
        <v>6.6500000000000004E-2</v>
      </c>
    </row>
    <row r="29" spans="1:4" x14ac:dyDescent="0.25">
      <c r="B29" s="6" t="s">
        <v>205</v>
      </c>
      <c r="C29" s="2"/>
      <c r="D29" s="2"/>
    </row>
    <row r="30" spans="1:4" x14ac:dyDescent="0.25">
      <c r="B30" s="3"/>
      <c r="C30" s="3"/>
      <c r="D30" s="4"/>
    </row>
    <row r="31" spans="1:4" x14ac:dyDescent="0.25">
      <c r="B31" s="3"/>
      <c r="C31" s="3"/>
      <c r="D31" s="3"/>
    </row>
    <row r="32" spans="1:4" x14ac:dyDescent="0.25">
      <c r="B32" s="3"/>
      <c r="C32" s="3"/>
      <c r="D32" s="3"/>
    </row>
    <row r="33" spans="1:4" x14ac:dyDescent="0.25">
      <c r="B33" s="5"/>
      <c r="C33" s="5"/>
      <c r="D33" s="5"/>
    </row>
    <row r="34" spans="1:4" x14ac:dyDescent="0.25">
      <c r="A34" s="1" t="s">
        <v>19</v>
      </c>
      <c r="B34" s="5"/>
      <c r="C34" s="5"/>
      <c r="D34" s="5"/>
    </row>
    <row r="35" spans="1:4" x14ac:dyDescent="0.25">
      <c r="A35" s="3" t="s">
        <v>10</v>
      </c>
    </row>
    <row r="36" spans="1:4" x14ac:dyDescent="0.25">
      <c r="A36" s="3" t="s">
        <v>12</v>
      </c>
    </row>
    <row r="37" spans="1:4" x14ac:dyDescent="0.25">
      <c r="A37" s="3" t="s">
        <v>13</v>
      </c>
      <c r="B37" s="3"/>
    </row>
    <row r="38" spans="1:4" x14ac:dyDescent="0.25">
      <c r="A38" s="3" t="s">
        <v>11</v>
      </c>
      <c r="B38" s="3"/>
    </row>
    <row r="39" spans="1:4" x14ac:dyDescent="0.25">
      <c r="A39" s="3" t="s">
        <v>14</v>
      </c>
      <c r="B39" s="3"/>
    </row>
    <row r="40" spans="1:4" x14ac:dyDescent="0.25">
      <c r="A40" s="3" t="s">
        <v>15</v>
      </c>
      <c r="B40" s="3"/>
    </row>
    <row r="41" spans="1:4" x14ac:dyDescent="0.25">
      <c r="A41" s="3" t="s">
        <v>21</v>
      </c>
      <c r="B41" s="3"/>
    </row>
    <row r="42" spans="1:4" x14ac:dyDescent="0.25">
      <c r="A42" s="3"/>
      <c r="B42" s="3"/>
    </row>
    <row r="43" spans="1:4" x14ac:dyDescent="0.25">
      <c r="A43" s="7" t="s">
        <v>533</v>
      </c>
      <c r="B43" s="3"/>
    </row>
    <row r="44" spans="1:4" x14ac:dyDescent="0.2">
      <c r="A44" s="7" t="s">
        <v>206</v>
      </c>
    </row>
    <row r="45" spans="1:4" x14ac:dyDescent="0.2">
      <c r="A45" s="7" t="s">
        <v>494</v>
      </c>
    </row>
  </sheetData>
  <mergeCells count="4">
    <mergeCell ref="A6:C6"/>
    <mergeCell ref="A20:B20"/>
    <mergeCell ref="A8:C8"/>
    <mergeCell ref="A7:C7"/>
  </mergeCells>
  <phoneticPr fontId="5" type="noConversion"/>
  <printOptions horizontalCentered="1"/>
  <pageMargins left="0.39370078740157483" right="0.39370078740157483" top="0.39370078740157483" bottom="0.39370078740157483" header="0.31496062992125984" footer="0.31496062992125984"/>
  <pageSetup paperSize="9" scale="9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4"/>
  <sheetViews>
    <sheetView view="pageBreakPreview" zoomScale="130" zoomScaleNormal="160" zoomScaleSheetLayoutView="130" workbookViewId="0">
      <selection activeCell="F26" sqref="F26"/>
    </sheetView>
  </sheetViews>
  <sheetFormatPr defaultRowHeight="15" x14ac:dyDescent="0.25"/>
  <cols>
    <col min="1" max="1" width="3.140625" bestFit="1" customWidth="1"/>
    <col min="2" max="2" width="17.42578125" bestFit="1" customWidth="1"/>
    <col min="3" max="3" width="7.85546875" customWidth="1"/>
    <col min="4" max="4" width="7.42578125" customWidth="1"/>
    <col min="5" max="5" width="8" customWidth="1"/>
    <col min="6" max="6" width="19.85546875" customWidth="1"/>
    <col min="7" max="7" width="5.85546875" customWidth="1"/>
    <col min="9" max="9" width="13.140625" customWidth="1"/>
    <col min="10" max="10" width="21" customWidth="1"/>
    <col min="14" max="14" width="23.42578125" customWidth="1"/>
  </cols>
  <sheetData>
    <row r="1" spans="1:10" s="1" customFormat="1" ht="15.75" x14ac:dyDescent="0.25"/>
    <row r="2" spans="1:10" s="1" customFormat="1" ht="15.75" x14ac:dyDescent="0.25"/>
    <row r="3" spans="1:10" s="1" customFormat="1" ht="15.75" x14ac:dyDescent="0.25"/>
    <row r="4" spans="1:10" s="1" customFormat="1" ht="15.75" x14ac:dyDescent="0.25"/>
    <row r="5" spans="1:10" s="1" customFormat="1" ht="15.75" x14ac:dyDescent="0.25"/>
    <row r="6" spans="1:10" s="1" customFormat="1" ht="15.75" x14ac:dyDescent="0.25">
      <c r="A6" s="424" t="s">
        <v>7</v>
      </c>
      <c r="B6" s="424"/>
      <c r="C6" s="424"/>
      <c r="D6" s="424"/>
      <c r="E6" s="424"/>
      <c r="F6" s="424"/>
      <c r="G6" s="424"/>
      <c r="H6" s="424"/>
      <c r="I6" s="424"/>
      <c r="J6" s="424"/>
    </row>
    <row r="7" spans="1:10" s="1" customFormat="1" ht="15.75" x14ac:dyDescent="0.25">
      <c r="A7" s="424" t="s">
        <v>8</v>
      </c>
      <c r="B7" s="424"/>
      <c r="C7" s="424"/>
      <c r="D7" s="424"/>
      <c r="E7" s="424"/>
      <c r="F7" s="424"/>
      <c r="G7" s="424"/>
      <c r="H7" s="424"/>
      <c r="I7" s="424"/>
      <c r="J7" s="424"/>
    </row>
    <row r="8" spans="1:10" s="1" customFormat="1" ht="15.75" x14ac:dyDescent="0.25">
      <c r="A8" s="424" t="str">
        <f>BDI!A8</f>
        <v>GRUPO TÉCNICO EM EDIFICAÇÕES - GTED/SR/PF/PI</v>
      </c>
      <c r="B8" s="424"/>
      <c r="C8" s="424"/>
      <c r="D8" s="424"/>
      <c r="E8" s="424"/>
      <c r="F8" s="424"/>
      <c r="G8" s="424"/>
      <c r="H8" s="424"/>
      <c r="I8" s="424"/>
      <c r="J8" s="424"/>
    </row>
    <row r="9" spans="1:10" s="1" customFormat="1" ht="15.75" x14ac:dyDescent="0.25">
      <c r="A9" s="92"/>
      <c r="B9" s="92"/>
      <c r="C9" s="92"/>
    </row>
    <row r="10" spans="1:10" ht="15.75" x14ac:dyDescent="0.25">
      <c r="A10" s="455" t="str">
        <f>BDI!B10</f>
        <v>ANEXO V</v>
      </c>
      <c r="B10" s="455"/>
      <c r="C10" s="455"/>
      <c r="D10" s="455"/>
      <c r="E10" s="455"/>
      <c r="F10" s="455"/>
      <c r="G10" s="455"/>
      <c r="H10" s="455"/>
      <c r="I10" s="455"/>
      <c r="J10" s="455"/>
    </row>
    <row r="11" spans="1:10" ht="15.75" x14ac:dyDescent="0.25">
      <c r="A11" s="455" t="str">
        <f>BDI!B11</f>
        <v>PLANILHA ESTIMATIVA DE COMPOSIÇÃO DE BDI​</v>
      </c>
      <c r="B11" s="455"/>
      <c r="C11" s="455"/>
      <c r="D11" s="455"/>
      <c r="E11" s="455"/>
      <c r="F11" s="455"/>
      <c r="G11" s="455"/>
      <c r="H11" s="455"/>
      <c r="I11" s="455"/>
      <c r="J11" s="455"/>
    </row>
    <row r="12" spans="1:10" ht="15.75" thickBot="1" x14ac:dyDescent="0.3">
      <c r="A12" s="135"/>
      <c r="B12" s="135"/>
      <c r="C12" s="135"/>
      <c r="D12" s="135"/>
      <c r="E12" s="135"/>
      <c r="F12" s="135"/>
      <c r="G12" s="135"/>
      <c r="H12" s="135"/>
      <c r="I12" s="135"/>
      <c r="J12" s="135"/>
    </row>
    <row r="13" spans="1:10" ht="15.75" customHeight="1" x14ac:dyDescent="0.25">
      <c r="A13" s="444" t="s">
        <v>142</v>
      </c>
      <c r="B13" s="445"/>
      <c r="C13" s="445"/>
      <c r="D13" s="445"/>
      <c r="E13" s="445"/>
      <c r="F13" s="445"/>
      <c r="G13" s="445"/>
      <c r="H13" s="445"/>
      <c r="I13" s="445"/>
      <c r="J13" s="446"/>
    </row>
    <row r="14" spans="1:10" ht="15" customHeight="1" x14ac:dyDescent="0.25">
      <c r="A14" s="447" t="s">
        <v>143</v>
      </c>
      <c r="B14" s="427"/>
      <c r="C14" s="427"/>
      <c r="D14" s="427"/>
      <c r="E14" s="427"/>
      <c r="F14" s="427"/>
      <c r="G14" s="427"/>
      <c r="H14" s="427"/>
      <c r="I14" s="427"/>
      <c r="J14" s="435"/>
    </row>
    <row r="15" spans="1:10" ht="15.75" customHeight="1" x14ac:dyDescent="0.25">
      <c r="A15" s="448" t="s">
        <v>497</v>
      </c>
      <c r="B15" s="433"/>
      <c r="C15" s="433"/>
      <c r="D15" s="433"/>
      <c r="E15" s="433"/>
      <c r="F15" s="433"/>
      <c r="G15" s="433"/>
      <c r="H15" s="433"/>
      <c r="I15" s="433"/>
      <c r="J15" s="434"/>
    </row>
    <row r="16" spans="1:10" ht="11.25" customHeight="1" x14ac:dyDescent="0.25">
      <c r="A16" s="436" t="s">
        <v>144</v>
      </c>
      <c r="B16" s="437"/>
      <c r="C16" s="437"/>
      <c r="D16" s="437"/>
      <c r="E16" s="437"/>
      <c r="F16" s="437" t="s">
        <v>145</v>
      </c>
      <c r="G16" s="437"/>
      <c r="H16" s="437"/>
      <c r="I16" s="437"/>
      <c r="J16" s="440"/>
    </row>
    <row r="17" spans="1:10" ht="15.75" customHeight="1" x14ac:dyDescent="0.25">
      <c r="A17" s="438" t="s">
        <v>531</v>
      </c>
      <c r="B17" s="439"/>
      <c r="C17" s="439"/>
      <c r="D17" s="439"/>
      <c r="E17" s="439"/>
      <c r="F17" s="439" t="s">
        <v>532</v>
      </c>
      <c r="G17" s="439"/>
      <c r="H17" s="439"/>
      <c r="I17" s="439"/>
      <c r="J17" s="441"/>
    </row>
    <row r="18" spans="1:10" ht="12" customHeight="1" x14ac:dyDescent="0.25">
      <c r="A18" s="436" t="s">
        <v>146</v>
      </c>
      <c r="B18" s="437"/>
      <c r="C18" s="437"/>
      <c r="D18" s="437"/>
      <c r="E18" s="437"/>
      <c r="F18" s="437" t="s">
        <v>147</v>
      </c>
      <c r="G18" s="437"/>
      <c r="H18" s="437"/>
      <c r="I18" s="437"/>
      <c r="J18" s="440"/>
    </row>
    <row r="19" spans="1:10" ht="13.5" customHeight="1" x14ac:dyDescent="0.25">
      <c r="A19" s="438" t="s">
        <v>530</v>
      </c>
      <c r="B19" s="439"/>
      <c r="C19" s="439"/>
      <c r="D19" s="439"/>
      <c r="E19" s="439"/>
      <c r="F19" s="439" t="s">
        <v>507</v>
      </c>
      <c r="G19" s="439"/>
      <c r="H19" s="439"/>
      <c r="I19" s="439"/>
      <c r="J19" s="441"/>
    </row>
    <row r="20" spans="1:10" ht="18" customHeight="1" x14ac:dyDescent="0.25">
      <c r="A20" s="442" t="s">
        <v>171</v>
      </c>
      <c r="B20" s="443"/>
      <c r="C20" s="443" t="s">
        <v>172</v>
      </c>
      <c r="D20" s="443"/>
      <c r="E20" s="443"/>
      <c r="F20" s="428" t="s">
        <v>164</v>
      </c>
      <c r="G20" s="428"/>
      <c r="H20" s="428" t="s">
        <v>165</v>
      </c>
      <c r="I20" s="428"/>
      <c r="J20" s="429">
        <f>BDI!C20</f>
        <v>0.2124998991108733</v>
      </c>
    </row>
    <row r="21" spans="1:10" x14ac:dyDescent="0.25">
      <c r="A21" s="442"/>
      <c r="B21" s="443"/>
      <c r="C21" s="95" t="s">
        <v>148</v>
      </c>
      <c r="D21" s="95" t="s">
        <v>149</v>
      </c>
      <c r="E21" s="95" t="s">
        <v>150</v>
      </c>
      <c r="F21" s="428"/>
      <c r="G21" s="428"/>
      <c r="H21" s="428"/>
      <c r="I21" s="428"/>
      <c r="J21" s="430"/>
    </row>
    <row r="22" spans="1:10" ht="15" customHeight="1" x14ac:dyDescent="0.25">
      <c r="A22" s="98">
        <v>1</v>
      </c>
      <c r="B22" s="96" t="s">
        <v>151</v>
      </c>
      <c r="C22" s="97">
        <v>8.0000000000000002E-3</v>
      </c>
      <c r="D22" s="97">
        <v>8.0000000000000002E-3</v>
      </c>
      <c r="E22" s="97">
        <v>0.01</v>
      </c>
      <c r="F22" s="96" t="s">
        <v>151</v>
      </c>
      <c r="G22" s="97">
        <f>S</f>
        <v>8.0000000000000002E-3</v>
      </c>
      <c r="H22" s="431" t="s">
        <v>166</v>
      </c>
      <c r="I22" s="431"/>
      <c r="J22" s="432"/>
    </row>
    <row r="23" spans="1:10" x14ac:dyDescent="0.25">
      <c r="A23" s="98">
        <v>2</v>
      </c>
      <c r="B23" s="96" t="s">
        <v>155</v>
      </c>
      <c r="C23" s="97">
        <v>9.7000000000000003E-3</v>
      </c>
      <c r="D23" s="97">
        <v>1.2699999999999999E-2</v>
      </c>
      <c r="E23" s="97">
        <v>1.2699999999999999E-2</v>
      </c>
      <c r="F23" s="96" t="s">
        <v>155</v>
      </c>
      <c r="G23" s="97">
        <f>RISCO</f>
        <v>9.7000000000000003E-3</v>
      </c>
      <c r="H23" s="431"/>
      <c r="I23" s="431"/>
      <c r="J23" s="432"/>
    </row>
    <row r="24" spans="1:10" x14ac:dyDescent="0.25">
      <c r="A24" s="98">
        <v>3</v>
      </c>
      <c r="B24" s="96" t="s">
        <v>152</v>
      </c>
      <c r="C24" s="97">
        <v>5.8999999999999999E-3</v>
      </c>
      <c r="D24" s="97">
        <v>1.23E-2</v>
      </c>
      <c r="E24" s="97">
        <v>1.3899999999999999E-2</v>
      </c>
      <c r="F24" s="96" t="s">
        <v>152</v>
      </c>
      <c r="G24" s="97">
        <f>DF</f>
        <v>5.8999999999999999E-3</v>
      </c>
      <c r="H24" s="433" t="s">
        <v>212</v>
      </c>
      <c r="I24" s="433"/>
      <c r="J24" s="434"/>
    </row>
    <row r="25" spans="1:10" x14ac:dyDescent="0.25">
      <c r="A25" s="98">
        <v>4</v>
      </c>
      <c r="B25" s="96" t="s">
        <v>153</v>
      </c>
      <c r="C25" s="97">
        <v>0.03</v>
      </c>
      <c r="D25" s="97">
        <v>0.04</v>
      </c>
      <c r="E25" s="97">
        <v>5.5E-2</v>
      </c>
      <c r="F25" s="96" t="s">
        <v>153</v>
      </c>
      <c r="G25" s="97">
        <f>AC</f>
        <v>0.03</v>
      </c>
      <c r="H25" s="427" t="s">
        <v>167</v>
      </c>
      <c r="I25" s="427"/>
      <c r="J25" s="435"/>
    </row>
    <row r="26" spans="1:10" x14ac:dyDescent="0.25">
      <c r="A26" s="98">
        <v>5</v>
      </c>
      <c r="B26" s="96" t="s">
        <v>154</v>
      </c>
      <c r="C26" s="97">
        <v>6.1600000000000002E-2</v>
      </c>
      <c r="D26" s="97">
        <v>7.3999999999999996E-2</v>
      </c>
      <c r="E26" s="97">
        <v>8.9599999999999999E-2</v>
      </c>
      <c r="F26" s="96" t="s">
        <v>154</v>
      </c>
      <c r="G26" s="97">
        <f>LUCRO</f>
        <v>7.3999999999999996E-2</v>
      </c>
      <c r="H26" s="433" t="s">
        <v>168</v>
      </c>
      <c r="I26" s="433"/>
      <c r="J26" s="434"/>
    </row>
    <row r="27" spans="1:10" ht="15" customHeight="1" x14ac:dyDescent="0.25">
      <c r="A27" s="98">
        <v>6</v>
      </c>
      <c r="B27" s="96" t="s">
        <v>156</v>
      </c>
      <c r="C27" s="427" t="s">
        <v>163</v>
      </c>
      <c r="D27" s="427"/>
      <c r="E27" s="427"/>
      <c r="F27" s="96" t="s">
        <v>156</v>
      </c>
      <c r="G27" s="97">
        <f>I</f>
        <v>6.6500000000000004E-2</v>
      </c>
      <c r="H27" s="433"/>
      <c r="I27" s="433"/>
      <c r="J27" s="434"/>
    </row>
    <row r="28" spans="1:10" ht="15" customHeight="1" x14ac:dyDescent="0.25">
      <c r="A28" s="98" t="s">
        <v>157</v>
      </c>
      <c r="B28" s="96" t="s">
        <v>5</v>
      </c>
      <c r="C28" s="427" t="s">
        <v>163</v>
      </c>
      <c r="D28" s="427"/>
      <c r="E28" s="427"/>
      <c r="F28" s="96" t="s">
        <v>5</v>
      </c>
      <c r="G28" s="97">
        <f>BDI!C24</f>
        <v>6.4999999999999997E-3</v>
      </c>
      <c r="H28" s="433"/>
      <c r="I28" s="433"/>
      <c r="J28" s="434"/>
    </row>
    <row r="29" spans="1:10" ht="15" customHeight="1" x14ac:dyDescent="0.25">
      <c r="A29" s="98" t="s">
        <v>158</v>
      </c>
      <c r="B29" s="96" t="s">
        <v>6</v>
      </c>
      <c r="C29" s="427" t="s">
        <v>163</v>
      </c>
      <c r="D29" s="427"/>
      <c r="E29" s="427"/>
      <c r="F29" s="96" t="s">
        <v>6</v>
      </c>
      <c r="G29" s="97">
        <f>BDI!C25</f>
        <v>0.03</v>
      </c>
      <c r="H29" s="433"/>
      <c r="I29" s="433"/>
      <c r="J29" s="434"/>
    </row>
    <row r="30" spans="1:10" ht="15" customHeight="1" x14ac:dyDescent="0.25">
      <c r="A30" s="98" t="s">
        <v>159</v>
      </c>
      <c r="B30" s="96" t="s">
        <v>160</v>
      </c>
      <c r="C30" s="427" t="s">
        <v>163</v>
      </c>
      <c r="D30" s="427"/>
      <c r="E30" s="427"/>
      <c r="F30" s="96" t="s">
        <v>160</v>
      </c>
      <c r="G30" s="97">
        <f>BDI!C23</f>
        <v>0.03</v>
      </c>
      <c r="H30" s="433" t="s">
        <v>169</v>
      </c>
      <c r="I30" s="433"/>
      <c r="J30" s="434"/>
    </row>
    <row r="31" spans="1:10" ht="15.75" customHeight="1" x14ac:dyDescent="0.25">
      <c r="A31" s="98" t="s">
        <v>161</v>
      </c>
      <c r="B31" s="96" t="s">
        <v>162</v>
      </c>
      <c r="C31" s="427" t="s">
        <v>163</v>
      </c>
      <c r="D31" s="427"/>
      <c r="E31" s="427"/>
      <c r="F31" s="96" t="s">
        <v>162</v>
      </c>
      <c r="G31" s="97"/>
      <c r="H31" s="433"/>
      <c r="I31" s="433"/>
      <c r="J31" s="434"/>
    </row>
    <row r="32" spans="1:10" x14ac:dyDescent="0.25">
      <c r="A32" s="452" t="s">
        <v>534</v>
      </c>
      <c r="B32" s="453"/>
      <c r="C32" s="453"/>
      <c r="D32" s="453"/>
      <c r="E32" s="453"/>
      <c r="F32" s="453"/>
      <c r="G32" s="453"/>
      <c r="H32" s="453"/>
      <c r="I32" s="453"/>
      <c r="J32" s="454"/>
    </row>
    <row r="33" spans="1:10" ht="39" customHeight="1" x14ac:dyDescent="0.25">
      <c r="A33" s="448" t="s">
        <v>170</v>
      </c>
      <c r="B33" s="433"/>
      <c r="C33" s="433"/>
      <c r="D33" s="433"/>
      <c r="E33" s="433"/>
      <c r="F33" s="433"/>
      <c r="G33" s="433"/>
      <c r="H33" s="433"/>
      <c r="I33" s="433"/>
      <c r="J33" s="434"/>
    </row>
    <row r="34" spans="1:10" ht="167.25" customHeight="1" thickBot="1" x14ac:dyDescent="0.3">
      <c r="A34" s="449" t="s">
        <v>187</v>
      </c>
      <c r="B34" s="450"/>
      <c r="C34" s="450"/>
      <c r="D34" s="450"/>
      <c r="E34" s="450"/>
      <c r="F34" s="450"/>
      <c r="G34" s="450"/>
      <c r="H34" s="450"/>
      <c r="I34" s="450"/>
      <c r="J34" s="451"/>
    </row>
  </sheetData>
  <mergeCells count="34">
    <mergeCell ref="A6:J6"/>
    <mergeCell ref="A11:J11"/>
    <mergeCell ref="A8:J8"/>
    <mergeCell ref="A7:J7"/>
    <mergeCell ref="A10:J10"/>
    <mergeCell ref="A34:J34"/>
    <mergeCell ref="A33:J33"/>
    <mergeCell ref="A32:J32"/>
    <mergeCell ref="C31:E31"/>
    <mergeCell ref="C30:E30"/>
    <mergeCell ref="H30:J31"/>
    <mergeCell ref="A13:J13"/>
    <mergeCell ref="A14:J14"/>
    <mergeCell ref="A15:J15"/>
    <mergeCell ref="A16:E16"/>
    <mergeCell ref="A17:E17"/>
    <mergeCell ref="F16:J16"/>
    <mergeCell ref="F17:J17"/>
    <mergeCell ref="A18:E18"/>
    <mergeCell ref="A19:E19"/>
    <mergeCell ref="F18:J18"/>
    <mergeCell ref="F19:J19"/>
    <mergeCell ref="A20:B21"/>
    <mergeCell ref="C20:E20"/>
    <mergeCell ref="F20:G21"/>
    <mergeCell ref="C29:E29"/>
    <mergeCell ref="C28:E28"/>
    <mergeCell ref="C27:E27"/>
    <mergeCell ref="H20:I21"/>
    <mergeCell ref="J20:J21"/>
    <mergeCell ref="H22:J23"/>
    <mergeCell ref="H24:J24"/>
    <mergeCell ref="H25:J25"/>
    <mergeCell ref="H26:J29"/>
  </mergeCells>
  <pageMargins left="0.511811024" right="0.511811024" top="0.78740157499999996" bottom="0.78740157499999996" header="0.31496062000000002" footer="0.31496062000000002"/>
  <pageSetup paperSize="9" scale="8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C5EC-E504-4F15-B710-4D3557DB7F5B}">
  <dimension ref="A6:H23"/>
  <sheetViews>
    <sheetView zoomScale="85" zoomScaleNormal="85" workbookViewId="0">
      <selection activeCell="D37" sqref="D37"/>
    </sheetView>
  </sheetViews>
  <sheetFormatPr defaultColWidth="9.140625" defaultRowHeight="15.75" x14ac:dyDescent="0.25"/>
  <cols>
    <col min="1" max="1" width="9.140625" style="10"/>
    <col min="2" max="2" width="75.5703125" style="10" customWidth="1"/>
    <col min="3" max="3" width="14.85546875" style="10" customWidth="1"/>
    <col min="4" max="6" width="27" style="10" bestFit="1" customWidth="1"/>
    <col min="7" max="7" width="10.7109375" style="10" bestFit="1" customWidth="1"/>
    <col min="8" max="8" width="9.140625" style="49"/>
    <col min="9" max="16384" width="9.140625" style="10"/>
  </cols>
  <sheetData>
    <row r="6" spans="1:8" x14ac:dyDescent="0.25">
      <c r="A6" s="394" t="s">
        <v>7</v>
      </c>
      <c r="B6" s="394"/>
      <c r="C6" s="394"/>
      <c r="D6" s="394"/>
      <c r="E6" s="394"/>
      <c r="F6" s="394"/>
    </row>
    <row r="7" spans="1:8" x14ac:dyDescent="0.25">
      <c r="A7" s="394" t="s">
        <v>8</v>
      </c>
      <c r="B7" s="394"/>
      <c r="C7" s="394"/>
      <c r="D7" s="394"/>
      <c r="E7" s="394"/>
      <c r="F7" s="394"/>
    </row>
    <row r="8" spans="1:8" x14ac:dyDescent="0.25">
      <c r="A8" s="394" t="s">
        <v>439</v>
      </c>
      <c r="B8" s="394"/>
      <c r="C8" s="394"/>
      <c r="D8" s="394"/>
      <c r="E8" s="394"/>
      <c r="F8" s="394"/>
    </row>
    <row r="9" spans="1:8" x14ac:dyDescent="0.25">
      <c r="A9" s="394"/>
      <c r="B9" s="394"/>
      <c r="C9" s="394"/>
      <c r="D9" s="394"/>
      <c r="E9" s="394"/>
      <c r="F9" s="394"/>
    </row>
    <row r="10" spans="1:8" x14ac:dyDescent="0.25">
      <c r="A10" s="397" t="s">
        <v>451</v>
      </c>
      <c r="B10" s="397"/>
      <c r="C10" s="397"/>
      <c r="D10" s="397"/>
      <c r="E10" s="397"/>
      <c r="F10" s="397"/>
    </row>
    <row r="11" spans="1:8" x14ac:dyDescent="0.25">
      <c r="A11" s="397" t="s">
        <v>42</v>
      </c>
      <c r="B11" s="397"/>
      <c r="C11" s="397"/>
      <c r="D11" s="397"/>
      <c r="E11" s="397"/>
      <c r="F11" s="397"/>
    </row>
    <row r="12" spans="1:8" ht="9" customHeight="1" thickBot="1" x14ac:dyDescent="0.3">
      <c r="A12" s="459"/>
      <c r="B12" s="459"/>
      <c r="C12" s="459"/>
      <c r="D12" s="459"/>
      <c r="E12" s="459"/>
      <c r="F12" s="459"/>
    </row>
    <row r="13" spans="1:8" ht="47.25" customHeight="1" x14ac:dyDescent="0.25">
      <c r="A13" s="460" t="str">
        <f>'Planilha Orçamentária'!B14</f>
        <v>Contratação de empresa especializada em Engenharia e Arquitetura para elaboração de projetos básicos e executivos para construção de Centro de Treinamento Policial na sede atua da DPF/PHB/PI</v>
      </c>
      <c r="B13" s="461"/>
      <c r="C13" s="461"/>
      <c r="D13" s="461"/>
      <c r="E13" s="461"/>
      <c r="F13" s="462"/>
    </row>
    <row r="14" spans="1:8" s="16" customFormat="1" ht="31.5" x14ac:dyDescent="0.25">
      <c r="A14" s="134" t="s">
        <v>0</v>
      </c>
      <c r="B14" s="15" t="s">
        <v>22</v>
      </c>
      <c r="C14" s="318" t="s">
        <v>521</v>
      </c>
      <c r="D14" s="107" t="s">
        <v>523</v>
      </c>
      <c r="E14" s="107" t="s">
        <v>524</v>
      </c>
      <c r="F14" s="139" t="s">
        <v>525</v>
      </c>
      <c r="H14" s="266"/>
    </row>
    <row r="15" spans="1:8" s="16" customFormat="1" ht="31.5" customHeight="1" x14ac:dyDescent="0.25">
      <c r="A15" s="134" t="str">
        <f>'Planilha Orçamentária'!B17</f>
        <v>1.0</v>
      </c>
      <c r="B15" s="456" t="str">
        <f>'Planilha Orçamentária'!C17</f>
        <v>Contratação dos projetos básicos e executivos para construção de Centro de Treinamento Policial na sede atual da DPF/PHB/PI</v>
      </c>
      <c r="C15" s="456"/>
      <c r="D15" s="456"/>
      <c r="E15" s="456"/>
      <c r="F15" s="457"/>
      <c r="H15" s="266"/>
    </row>
    <row r="16" spans="1:8" x14ac:dyDescent="0.25">
      <c r="A16" s="212" t="str">
        <f>'Planilha Orçamentária'!B18</f>
        <v>1.1</v>
      </c>
      <c r="B16" s="213" t="str">
        <f>'Planilha Orçamentária'!C18</f>
        <v>ETAPA 1.1</v>
      </c>
      <c r="C16" s="458">
        <f>'Planilha Orçamentária'!F19</f>
        <v>13204.291226303487</v>
      </c>
      <c r="D16" s="321">
        <v>0.3</v>
      </c>
      <c r="E16" s="321">
        <v>0</v>
      </c>
      <c r="F16" s="322">
        <v>0</v>
      </c>
    </row>
    <row r="17" spans="1:7" ht="47.25" x14ac:dyDescent="0.25">
      <c r="A17" s="133"/>
      <c r="B17" s="46" t="str">
        <f>'Planilha Orçamentária'!C19</f>
        <v>(Modelagem da Arquitetura, Modelagem da estrutura (finalização dos projetos de formas), Modelagem do Projeto de Incêndio, Relatório de Premissas de todas as disciplinas</v>
      </c>
      <c r="C17" s="458"/>
      <c r="D17" s="313">
        <f>$C$23*D16</f>
        <v>13204.291226303487</v>
      </c>
      <c r="E17" s="313">
        <f>$C$23*E16</f>
        <v>0</v>
      </c>
      <c r="F17" s="314">
        <f>$C$23*F16</f>
        <v>0</v>
      </c>
    </row>
    <row r="18" spans="1:7" x14ac:dyDescent="0.25">
      <c r="A18" s="212" t="str">
        <f>'Planilha Orçamentária'!B20</f>
        <v>1.2</v>
      </c>
      <c r="B18" s="213" t="str">
        <f>'Planilha Orçamentária'!C20</f>
        <v>ETAPA 1.2</v>
      </c>
      <c r="C18" s="458">
        <f>'Planilha Orçamentária'!F21</f>
        <v>13204.291226303487</v>
      </c>
      <c r="D18" s="323">
        <v>0</v>
      </c>
      <c r="E18" s="323">
        <v>0.3</v>
      </c>
      <c r="F18" s="324">
        <v>0</v>
      </c>
    </row>
    <row r="19" spans="1:7" ht="47.25" x14ac:dyDescent="0.25">
      <c r="A19" s="133"/>
      <c r="B19" s="9" t="str">
        <f>'Planilha Orçamentária'!C21</f>
        <v>Detalhamentos de arquitetura, detalhamentos de estrutura; finalização dos projetos de instalações elétricas, hidrossanitárias, climatização e incêndio, inclusive aprovação no CBM e concessionárias</v>
      </c>
      <c r="C19" s="458"/>
      <c r="D19" s="313">
        <f>$C$23*D18</f>
        <v>0</v>
      </c>
      <c r="E19" s="313">
        <f>$C$23*E18</f>
        <v>13204.291226303487</v>
      </c>
      <c r="F19" s="314">
        <f>$C$23*F18</f>
        <v>0</v>
      </c>
    </row>
    <row r="20" spans="1:7" x14ac:dyDescent="0.25">
      <c r="A20" s="212" t="str">
        <f>'Planilha Orçamentária'!B22</f>
        <v>1.3</v>
      </c>
      <c r="B20" s="213" t="str">
        <f>'Planilha Orçamentária'!C22</f>
        <v>ETAPA 1.3</v>
      </c>
      <c r="C20" s="458">
        <f>'Planilha Orçamentária'!F23</f>
        <v>17605.721635071317</v>
      </c>
      <c r="D20" s="323">
        <v>0</v>
      </c>
      <c r="E20" s="323">
        <v>0</v>
      </c>
      <c r="F20" s="324">
        <v>0.4</v>
      </c>
    </row>
    <row r="21" spans="1:7" ht="78.75" x14ac:dyDescent="0.25">
      <c r="A21" s="133"/>
      <c r="B21" s="9" t="str">
        <f>'Planilha Orçamentária'!C23</f>
        <v>Documentação Técnica, contendo: caderno de encargos e especificações técnicas, planilha orçamentária analítica e sintética onerada e desonerada, cronograma físico-financeiro, curvas ABC, composições de custos, levantamento de quantitativos, planilha de cálculo de BDI, mapa de cotações e fornecedores, ARTs e maquete virtual</v>
      </c>
      <c r="C21" s="458"/>
      <c r="D21" s="313">
        <f>$C$23*D20</f>
        <v>0</v>
      </c>
      <c r="E21" s="313">
        <f>$C$23*E20</f>
        <v>0</v>
      </c>
      <c r="F21" s="314">
        <f>$C$23*F20</f>
        <v>17605.721635071317</v>
      </c>
    </row>
    <row r="22" spans="1:7" x14ac:dyDescent="0.25">
      <c r="A22" s="133"/>
      <c r="B22" s="17" t="s">
        <v>526</v>
      </c>
      <c r="C22" s="323">
        <v>1</v>
      </c>
      <c r="D22" s="323">
        <f>D16+D18+D20</f>
        <v>0.3</v>
      </c>
      <c r="E22" s="323">
        <f>E16+E18+E20+D22</f>
        <v>0.6</v>
      </c>
      <c r="F22" s="324">
        <f>F16+F18+F20+E22</f>
        <v>1</v>
      </c>
    </row>
    <row r="23" spans="1:7" ht="16.5" thickBot="1" x14ac:dyDescent="0.3">
      <c r="A23" s="143"/>
      <c r="B23" s="144" t="s">
        <v>522</v>
      </c>
      <c r="C23" s="319">
        <f>C16+C18+C20</f>
        <v>44014.304087678291</v>
      </c>
      <c r="D23" s="317">
        <f>D17+D19+D21</f>
        <v>13204.291226303487</v>
      </c>
      <c r="E23" s="317">
        <f>E17+E19+E21+D23</f>
        <v>26408.582452606974</v>
      </c>
      <c r="F23" s="320">
        <f>F17+F19+F21+E23</f>
        <v>44014.304087678291</v>
      </c>
      <c r="G23" s="50"/>
    </row>
  </sheetData>
  <mergeCells count="12">
    <mergeCell ref="B15:F15"/>
    <mergeCell ref="C16:C17"/>
    <mergeCell ref="C18:C19"/>
    <mergeCell ref="C20:C21"/>
    <mergeCell ref="A12:F12"/>
    <mergeCell ref="A13:F13"/>
    <mergeCell ref="A11:F11"/>
    <mergeCell ref="A6:F6"/>
    <mergeCell ref="A7:F7"/>
    <mergeCell ref="A8:F8"/>
    <mergeCell ref="A9:F9"/>
    <mergeCell ref="A10:F10"/>
  </mergeCells>
  <pageMargins left="0.51181102362204722" right="0.51181102362204722" top="0.78740157480314965" bottom="0.78740157480314965" header="0.31496062992125984" footer="0.31496062992125984"/>
  <pageSetup paperSize="8" scale="80"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79"/>
  <sheetViews>
    <sheetView topLeftCell="A30" zoomScaleNormal="100" zoomScaleSheetLayoutView="100" workbookViewId="0">
      <selection activeCell="C21" sqref="C21"/>
    </sheetView>
  </sheetViews>
  <sheetFormatPr defaultColWidth="9.140625" defaultRowHeight="15.75" x14ac:dyDescent="0.25"/>
  <cols>
    <col min="1" max="1" width="9.140625" style="20"/>
    <col min="2" max="2" width="14.28515625" style="20" bestFit="1" customWidth="1"/>
    <col min="3" max="3" width="70.85546875" style="20" bestFit="1" customWidth="1"/>
    <col min="4" max="4" width="15.7109375" style="73" customWidth="1"/>
    <col min="5" max="5" width="11.85546875" style="40" hidden="1" customWidth="1"/>
    <col min="6" max="6" width="10.7109375" style="40" hidden="1" customWidth="1"/>
    <col min="7" max="7" width="13.140625" style="40" hidden="1" customWidth="1"/>
    <col min="8" max="8" width="18.7109375" style="40" customWidth="1"/>
    <col min="9" max="9" width="19.140625" style="40" customWidth="1"/>
    <col min="10" max="10" width="18.28515625" style="40" customWidth="1"/>
    <col min="11" max="11" width="16.28515625" style="41" bestFit="1" customWidth="1"/>
    <col min="12" max="12" width="30.140625" style="42" customWidth="1"/>
    <col min="13" max="13" width="13.140625" style="20" bestFit="1" customWidth="1"/>
    <col min="14" max="14" width="11.85546875" style="43" bestFit="1" customWidth="1"/>
    <col min="15" max="15" width="45.28515625" style="44" bestFit="1" customWidth="1"/>
    <col min="16" max="16384" width="9.140625" style="20"/>
  </cols>
  <sheetData>
    <row r="1" spans="2:15" s="10" customFormat="1" x14ac:dyDescent="0.25">
      <c r="D1" s="64"/>
      <c r="L1" s="16"/>
    </row>
    <row r="2" spans="2:15" s="10" customFormat="1" x14ac:dyDescent="0.25">
      <c r="D2" s="64"/>
      <c r="L2" s="83"/>
      <c r="M2" s="77"/>
    </row>
    <row r="3" spans="2:15" s="10" customFormat="1" x14ac:dyDescent="0.25">
      <c r="D3" s="64"/>
      <c r="L3" s="83"/>
      <c r="M3" s="77"/>
    </row>
    <row r="4" spans="2:15" s="10" customFormat="1" ht="16.5" thickBot="1" x14ac:dyDescent="0.3">
      <c r="D4" s="64"/>
      <c r="L4" s="93" t="s">
        <v>207</v>
      </c>
      <c r="M4" s="94">
        <v>36</v>
      </c>
    </row>
    <row r="5" spans="2:15" s="10" customFormat="1" ht="16.5" thickBot="1" x14ac:dyDescent="0.3">
      <c r="D5" s="64"/>
      <c r="L5" s="93" t="s">
        <v>208</v>
      </c>
      <c r="M5" s="94">
        <v>17</v>
      </c>
    </row>
    <row r="6" spans="2:15" s="10" customFormat="1" ht="15.75" customHeight="1" thickBot="1" x14ac:dyDescent="0.3">
      <c r="B6" s="394" t="s">
        <v>7</v>
      </c>
      <c r="C6" s="394"/>
      <c r="D6" s="394"/>
      <c r="E6" s="394"/>
      <c r="F6" s="394"/>
      <c r="G6" s="394"/>
      <c r="H6" s="394"/>
      <c r="I6" s="394"/>
      <c r="J6" s="394"/>
      <c r="L6" s="93" t="s">
        <v>209</v>
      </c>
      <c r="M6" s="94">
        <v>15</v>
      </c>
    </row>
    <row r="7" spans="2:15" s="10" customFormat="1" ht="15.75" customHeight="1" thickBot="1" x14ac:dyDescent="0.3">
      <c r="B7" s="394" t="s">
        <v>8</v>
      </c>
      <c r="C7" s="394"/>
      <c r="D7" s="394"/>
      <c r="E7" s="394"/>
      <c r="F7" s="394"/>
      <c r="G7" s="394"/>
      <c r="H7" s="394"/>
      <c r="I7" s="394"/>
      <c r="J7" s="394"/>
      <c r="L7" s="93" t="s">
        <v>210</v>
      </c>
      <c r="M7" s="94">
        <v>18</v>
      </c>
    </row>
    <row r="8" spans="2:15" s="10" customFormat="1" ht="15.75" customHeight="1" x14ac:dyDescent="0.25">
      <c r="B8" s="394" t="str">
        <f>'Planilha Sintética'!B8:H8</f>
        <v>GRUPO TÉCNICO EM EDIFICAÇÕES - GTED/SR/PF/PI</v>
      </c>
      <c r="C8" s="394"/>
      <c r="D8" s="394"/>
      <c r="E8" s="394"/>
      <c r="F8" s="394"/>
      <c r="G8" s="394"/>
      <c r="H8" s="394"/>
      <c r="I8" s="394"/>
      <c r="J8" s="394"/>
      <c r="L8" s="83" t="s">
        <v>134</v>
      </c>
      <c r="M8" s="77">
        <f>SUM(M4:M7)</f>
        <v>86</v>
      </c>
    </row>
    <row r="9" spans="2:15" s="10" customFormat="1" x14ac:dyDescent="0.25">
      <c r="B9" s="394"/>
      <c r="C9" s="394"/>
      <c r="D9" s="394"/>
      <c r="E9" s="394"/>
      <c r="F9" s="394"/>
      <c r="G9" s="394"/>
      <c r="H9" s="394"/>
      <c r="I9" s="394"/>
      <c r="J9" s="394"/>
      <c r="L9" s="85" t="s">
        <v>134</v>
      </c>
      <c r="M9" s="86">
        <f>SUM(M8)</f>
        <v>86</v>
      </c>
    </row>
    <row r="10" spans="2:15" s="10" customFormat="1" ht="16.5" thickBot="1" x14ac:dyDescent="0.3">
      <c r="B10" s="467" t="str">
        <f>'Planilha Orçamentária'!B10:F10</f>
        <v>ANEXO I</v>
      </c>
      <c r="C10" s="467"/>
      <c r="D10" s="467"/>
      <c r="E10" s="467"/>
      <c r="F10" s="467"/>
      <c r="G10" s="467"/>
      <c r="H10" s="467"/>
      <c r="I10" s="467"/>
      <c r="J10" s="467"/>
      <c r="K10" s="74"/>
      <c r="L10" s="85" t="s">
        <v>211</v>
      </c>
      <c r="M10" s="86">
        <f>SUM(M4:M7)</f>
        <v>86</v>
      </c>
    </row>
    <row r="11" spans="2:15" ht="15.75" customHeight="1" x14ac:dyDescent="0.25">
      <c r="B11" s="468" t="s">
        <v>131</v>
      </c>
      <c r="C11" s="469"/>
      <c r="D11" s="469"/>
      <c r="E11" s="469"/>
      <c r="F11" s="469"/>
      <c r="G11" s="469"/>
      <c r="H11" s="469"/>
      <c r="I11" s="469"/>
      <c r="J11" s="470"/>
      <c r="K11" s="74"/>
      <c r="L11" s="88" t="s">
        <v>125</v>
      </c>
      <c r="M11" s="77">
        <f>M8</f>
        <v>86</v>
      </c>
    </row>
    <row r="12" spans="2:15" ht="15.75" customHeight="1" x14ac:dyDescent="0.25">
      <c r="B12" s="474" t="s">
        <v>188</v>
      </c>
      <c r="C12" s="397"/>
      <c r="D12" s="397"/>
      <c r="E12" s="397"/>
      <c r="F12" s="397"/>
      <c r="G12" s="397"/>
      <c r="H12" s="397"/>
      <c r="I12" s="397"/>
      <c r="J12" s="475"/>
      <c r="K12" s="74"/>
      <c r="L12" s="89" t="s">
        <v>130</v>
      </c>
      <c r="M12" s="84"/>
    </row>
    <row r="13" spans="2:15" ht="17.25" x14ac:dyDescent="0.25">
      <c r="B13" s="471"/>
      <c r="C13" s="472"/>
      <c r="D13" s="472"/>
      <c r="E13" s="472"/>
      <c r="F13" s="472"/>
      <c r="G13" s="472"/>
      <c r="H13" s="472"/>
      <c r="I13" s="472"/>
      <c r="J13" s="473"/>
      <c r="K13" s="75"/>
      <c r="L13" s="88" t="s">
        <v>126</v>
      </c>
      <c r="M13" s="77">
        <f>M12</f>
        <v>0</v>
      </c>
    </row>
    <row r="14" spans="2:15" ht="17.25" x14ac:dyDescent="0.25">
      <c r="B14" s="115" t="s">
        <v>388</v>
      </c>
      <c r="C14" s="21" t="s">
        <v>44</v>
      </c>
      <c r="D14" s="65" t="s">
        <v>41</v>
      </c>
      <c r="E14" s="22" t="s">
        <v>61</v>
      </c>
      <c r="F14" s="22" t="s">
        <v>62</v>
      </c>
      <c r="G14" s="22" t="s">
        <v>63</v>
      </c>
      <c r="H14" s="23" t="s">
        <v>138</v>
      </c>
      <c r="I14" s="24" t="s">
        <v>139</v>
      </c>
      <c r="J14" s="116" t="s">
        <v>45</v>
      </c>
      <c r="K14" s="75"/>
      <c r="L14" s="89"/>
      <c r="M14" s="84"/>
    </row>
    <row r="15" spans="2:15" ht="31.5" x14ac:dyDescent="0.25">
      <c r="B15" s="294" t="s">
        <v>227</v>
      </c>
      <c r="C15" s="295" t="s">
        <v>224</v>
      </c>
      <c r="D15" s="296"/>
      <c r="E15" s="297"/>
      <c r="F15" s="297"/>
      <c r="G15" s="297"/>
      <c r="H15" s="298"/>
      <c r="I15" s="299"/>
      <c r="J15" s="300"/>
      <c r="K15" s="20"/>
      <c r="N15" s="20"/>
      <c r="O15" s="20"/>
    </row>
    <row r="16" spans="2:15" x14ac:dyDescent="0.25">
      <c r="B16" s="476" t="s">
        <v>39</v>
      </c>
      <c r="C16" s="51" t="s">
        <v>53</v>
      </c>
      <c r="D16" s="52">
        <v>0.1</v>
      </c>
      <c r="E16" s="26">
        <f>$M$6</f>
        <v>15</v>
      </c>
      <c r="F16" s="26">
        <f>$M$7</f>
        <v>18</v>
      </c>
      <c r="G16" s="26">
        <v>0</v>
      </c>
      <c r="H16" s="108">
        <f>$D$66</f>
        <v>145872.11935947539</v>
      </c>
      <c r="I16" s="27">
        <f>$J$61</f>
        <v>116.66</v>
      </c>
      <c r="J16" s="117">
        <f>D16*H16*((I16/H16)^0.5)</f>
        <v>412.52201692123538</v>
      </c>
      <c r="K16" s="20"/>
      <c r="L16" s="82"/>
      <c r="M16" s="76"/>
      <c r="N16" s="20"/>
      <c r="O16" s="20"/>
    </row>
    <row r="17" spans="2:15" x14ac:dyDescent="0.25">
      <c r="B17" s="476"/>
      <c r="C17" s="25" t="s">
        <v>24</v>
      </c>
      <c r="D17" s="52">
        <v>0.24</v>
      </c>
      <c r="E17" s="26">
        <f>$M$6</f>
        <v>15</v>
      </c>
      <c r="F17" s="26">
        <f>$M$7</f>
        <v>18</v>
      </c>
      <c r="G17" s="26">
        <f>$M$8</f>
        <v>86</v>
      </c>
      <c r="H17" s="108">
        <f>$D$66</f>
        <v>145872.11935947539</v>
      </c>
      <c r="I17" s="27"/>
      <c r="J17" s="117">
        <f t="shared" ref="J17:J45" si="0">D17*H17*((I17/H17)^0.5)</f>
        <v>0</v>
      </c>
      <c r="K17" s="20"/>
      <c r="L17" s="83"/>
      <c r="M17" s="77"/>
    </row>
    <row r="18" spans="2:15" x14ac:dyDescent="0.25">
      <c r="B18" s="476"/>
      <c r="C18" s="25" t="s">
        <v>135</v>
      </c>
      <c r="D18" s="52">
        <v>0.71</v>
      </c>
      <c r="E18" s="26">
        <f>$M$6</f>
        <v>15</v>
      </c>
      <c r="F18" s="26">
        <f>$M$7</f>
        <v>18</v>
      </c>
      <c r="G18" s="26">
        <f>$M$8</f>
        <v>86</v>
      </c>
      <c r="H18" s="108">
        <f>$D$66</f>
        <v>145872.11935947539</v>
      </c>
      <c r="I18" s="27">
        <f>$J$61</f>
        <v>116.66</v>
      </c>
      <c r="J18" s="117">
        <f>D18*H18*((I18/H18)^0.5)</f>
        <v>2928.9063201407707</v>
      </c>
      <c r="K18" s="20"/>
      <c r="L18" s="85"/>
      <c r="M18" s="86"/>
    </row>
    <row r="19" spans="2:15" x14ac:dyDescent="0.25">
      <c r="B19" s="476"/>
      <c r="C19" s="28"/>
      <c r="D19" s="66"/>
      <c r="E19" s="29"/>
      <c r="F19" s="29"/>
      <c r="G19" s="29"/>
      <c r="H19" s="29"/>
      <c r="I19" s="30" t="s">
        <v>46</v>
      </c>
      <c r="J19" s="116">
        <f>SUM(J16:J18)</f>
        <v>3341.428337062006</v>
      </c>
      <c r="K19" s="20"/>
      <c r="L19" s="82"/>
      <c r="M19" s="76"/>
    </row>
    <row r="20" spans="2:15" ht="15.6" customHeight="1" x14ac:dyDescent="0.25">
      <c r="B20" s="463" t="s">
        <v>128</v>
      </c>
      <c r="C20" s="25" t="s">
        <v>65</v>
      </c>
      <c r="D20" s="68"/>
      <c r="E20" s="26">
        <f t="shared" ref="E20:E25" si="1">$M$6</f>
        <v>15</v>
      </c>
      <c r="F20" s="26">
        <f t="shared" ref="F20:F25" si="2">$M$7</f>
        <v>18</v>
      </c>
      <c r="G20" s="26">
        <f>$M$8</f>
        <v>86</v>
      </c>
      <c r="H20" s="108">
        <f t="shared" ref="H20:H25" si="3">$D$66</f>
        <v>145872.11935947539</v>
      </c>
      <c r="I20" s="34">
        <f>$J$60</f>
        <v>127.49</v>
      </c>
      <c r="J20" s="117">
        <f t="shared" si="0"/>
        <v>0</v>
      </c>
      <c r="K20" s="20"/>
      <c r="L20" s="83"/>
      <c r="M20" s="77"/>
    </row>
    <row r="21" spans="2:15" ht="15.6" customHeight="1" x14ac:dyDescent="0.25">
      <c r="B21" s="463"/>
      <c r="C21" s="25" t="s">
        <v>59</v>
      </c>
      <c r="D21" s="68"/>
      <c r="E21" s="26">
        <f t="shared" si="1"/>
        <v>15</v>
      </c>
      <c r="F21" s="26">
        <f t="shared" si="2"/>
        <v>18</v>
      </c>
      <c r="G21" s="26">
        <f>$M$8</f>
        <v>86</v>
      </c>
      <c r="H21" s="108">
        <f t="shared" si="3"/>
        <v>145872.11935947539</v>
      </c>
      <c r="I21" s="34">
        <f>$J$60</f>
        <v>127.49</v>
      </c>
      <c r="J21" s="117">
        <f t="shared" si="0"/>
        <v>0</v>
      </c>
      <c r="K21" s="20"/>
      <c r="L21" s="85"/>
      <c r="M21" s="86"/>
    </row>
    <row r="22" spans="2:15" ht="15.6" customHeight="1" x14ac:dyDescent="0.25">
      <c r="B22" s="463"/>
      <c r="C22" s="25" t="s">
        <v>55</v>
      </c>
      <c r="D22" s="68"/>
      <c r="E22" s="26">
        <f t="shared" si="1"/>
        <v>15</v>
      </c>
      <c r="F22" s="26">
        <f t="shared" si="2"/>
        <v>18</v>
      </c>
      <c r="G22" s="26">
        <f>$M$8</f>
        <v>86</v>
      </c>
      <c r="H22" s="108">
        <f t="shared" si="3"/>
        <v>145872.11935947539</v>
      </c>
      <c r="I22" s="34">
        <f>$J$60</f>
        <v>127.49</v>
      </c>
      <c r="J22" s="117">
        <f t="shared" si="0"/>
        <v>0</v>
      </c>
      <c r="K22" s="20"/>
      <c r="L22" s="83"/>
      <c r="M22" s="77"/>
    </row>
    <row r="23" spans="2:15" ht="15.6" customHeight="1" x14ac:dyDescent="0.25">
      <c r="B23" s="463"/>
      <c r="C23" s="25" t="s">
        <v>56</v>
      </c>
      <c r="D23" s="68"/>
      <c r="E23" s="26">
        <f t="shared" si="1"/>
        <v>15</v>
      </c>
      <c r="F23" s="26">
        <f t="shared" si="2"/>
        <v>18</v>
      </c>
      <c r="G23" s="26">
        <f>$M$8</f>
        <v>86</v>
      </c>
      <c r="H23" s="108">
        <f t="shared" si="3"/>
        <v>145872.11935947539</v>
      </c>
      <c r="I23" s="34">
        <f>$J$60</f>
        <v>127.49</v>
      </c>
      <c r="J23" s="117">
        <f t="shared" si="0"/>
        <v>0</v>
      </c>
      <c r="K23" s="20"/>
      <c r="L23" s="82"/>
      <c r="M23" s="76"/>
    </row>
    <row r="24" spans="2:15" ht="15.6" customHeight="1" x14ac:dyDescent="0.25">
      <c r="B24" s="463"/>
      <c r="C24" s="25" t="s">
        <v>57</v>
      </c>
      <c r="D24" s="68"/>
      <c r="E24" s="26">
        <f t="shared" si="1"/>
        <v>15</v>
      </c>
      <c r="F24" s="26">
        <f t="shared" si="2"/>
        <v>18</v>
      </c>
      <c r="G24" s="26">
        <f>$M$8</f>
        <v>86</v>
      </c>
      <c r="H24" s="108">
        <f t="shared" si="3"/>
        <v>145872.11935947539</v>
      </c>
      <c r="I24" s="34">
        <f>$J$60</f>
        <v>127.49</v>
      </c>
      <c r="J24" s="117">
        <f t="shared" si="0"/>
        <v>0</v>
      </c>
      <c r="K24" s="20"/>
      <c r="L24" s="83"/>
      <c r="M24" s="77"/>
    </row>
    <row r="25" spans="2:15" ht="15.6" customHeight="1" x14ac:dyDescent="0.25">
      <c r="B25" s="463"/>
      <c r="C25" s="36" t="s">
        <v>58</v>
      </c>
      <c r="D25" s="69">
        <v>0.18</v>
      </c>
      <c r="E25" s="26">
        <f t="shared" si="1"/>
        <v>15</v>
      </c>
      <c r="F25" s="26">
        <f t="shared" si="2"/>
        <v>18</v>
      </c>
      <c r="G25" s="37">
        <v>0</v>
      </c>
      <c r="H25" s="108">
        <f t="shared" si="3"/>
        <v>145872.11935947539</v>
      </c>
      <c r="I25" s="34"/>
      <c r="J25" s="117">
        <f t="shared" si="0"/>
        <v>0</v>
      </c>
      <c r="K25" s="20"/>
      <c r="M25" s="76"/>
    </row>
    <row r="26" spans="2:15" ht="15.6" customHeight="1" x14ac:dyDescent="0.25">
      <c r="B26" s="463"/>
      <c r="C26" s="28"/>
      <c r="D26" s="66"/>
      <c r="E26" s="29"/>
      <c r="F26" s="29"/>
      <c r="G26" s="29"/>
      <c r="H26" s="29"/>
      <c r="I26" s="38" t="s">
        <v>47</v>
      </c>
      <c r="J26" s="116">
        <f>SUM(J20:J25)</f>
        <v>0</v>
      </c>
      <c r="K26" s="20"/>
      <c r="N26" s="20"/>
      <c r="O26" s="20"/>
    </row>
    <row r="27" spans="2:15" ht="15.6" customHeight="1" x14ac:dyDescent="0.25">
      <c r="B27" s="476" t="s">
        <v>129</v>
      </c>
      <c r="C27" s="25" t="s">
        <v>82</v>
      </c>
      <c r="D27" s="68"/>
      <c r="E27" s="26">
        <f t="shared" ref="E27:E42" si="4">$M$6</f>
        <v>15</v>
      </c>
      <c r="F27" s="26">
        <f t="shared" ref="F27:F42" si="5">$M$7</f>
        <v>18</v>
      </c>
      <c r="G27" s="26">
        <f>$M$8</f>
        <v>86</v>
      </c>
      <c r="H27" s="108">
        <f>$D$66</f>
        <v>145872.11935947539</v>
      </c>
      <c r="I27" s="34">
        <f>$J$62</f>
        <v>110.73</v>
      </c>
      <c r="J27" s="117">
        <f t="shared" si="0"/>
        <v>0</v>
      </c>
      <c r="K27" s="20"/>
      <c r="N27" s="20"/>
      <c r="O27" s="20"/>
    </row>
    <row r="28" spans="2:15" x14ac:dyDescent="0.25">
      <c r="B28" s="476"/>
      <c r="C28" s="25" t="s">
        <v>40</v>
      </c>
      <c r="D28" s="68"/>
      <c r="E28" s="26">
        <f t="shared" si="4"/>
        <v>15</v>
      </c>
      <c r="F28" s="26">
        <f t="shared" si="5"/>
        <v>18</v>
      </c>
      <c r="G28" s="32">
        <v>0</v>
      </c>
      <c r="H28" s="108">
        <f>$D$66</f>
        <v>145872.11935947539</v>
      </c>
      <c r="I28" s="34">
        <f>$J$62</f>
        <v>110.73</v>
      </c>
      <c r="J28" s="117">
        <f t="shared" si="0"/>
        <v>0</v>
      </c>
      <c r="K28" s="20"/>
      <c r="N28" s="20"/>
      <c r="O28" s="20"/>
    </row>
    <row r="29" spans="2:15" x14ac:dyDescent="0.25">
      <c r="B29" s="476"/>
      <c r="C29" s="25" t="s">
        <v>83</v>
      </c>
      <c r="D29" s="68">
        <v>0.17</v>
      </c>
      <c r="E29" s="26">
        <f t="shared" si="4"/>
        <v>15</v>
      </c>
      <c r="F29" s="26">
        <f t="shared" si="5"/>
        <v>18</v>
      </c>
      <c r="G29" s="26"/>
      <c r="H29" s="108">
        <f>$D$66</f>
        <v>145872.11935947539</v>
      </c>
      <c r="I29" s="34"/>
      <c r="J29" s="117">
        <f t="shared" si="0"/>
        <v>0</v>
      </c>
      <c r="K29" s="20"/>
      <c r="N29" s="20"/>
      <c r="O29" s="20"/>
    </row>
    <row r="30" spans="2:15" x14ac:dyDescent="0.25">
      <c r="B30" s="476"/>
      <c r="C30" s="25" t="s">
        <v>177</v>
      </c>
      <c r="D30" s="68">
        <v>0.23</v>
      </c>
      <c r="E30" s="26">
        <f t="shared" si="4"/>
        <v>15</v>
      </c>
      <c r="F30" s="26">
        <f t="shared" si="5"/>
        <v>18</v>
      </c>
      <c r="G30" s="26">
        <f>$M$8</f>
        <v>86</v>
      </c>
      <c r="H30" s="108">
        <f>$D$67</f>
        <v>113370.1993594754</v>
      </c>
      <c r="I30" s="34">
        <f>$J$62</f>
        <v>110.73</v>
      </c>
      <c r="J30" s="117">
        <f t="shared" si="0"/>
        <v>814.91055157081644</v>
      </c>
      <c r="K30" s="20"/>
      <c r="N30" s="20"/>
      <c r="O30" s="20"/>
    </row>
    <row r="31" spans="2:15" x14ac:dyDescent="0.25">
      <c r="B31" s="476"/>
      <c r="C31" s="25" t="s">
        <v>93</v>
      </c>
      <c r="D31" s="68"/>
      <c r="E31" s="26">
        <f t="shared" si="4"/>
        <v>15</v>
      </c>
      <c r="F31" s="26">
        <f t="shared" si="5"/>
        <v>18</v>
      </c>
      <c r="G31" s="32">
        <v>0</v>
      </c>
      <c r="H31" s="108">
        <f t="shared" ref="H31:H42" si="6">$D$66</f>
        <v>145872.11935947539</v>
      </c>
      <c r="I31" s="34">
        <f>$J$62</f>
        <v>110.73</v>
      </c>
      <c r="J31" s="117">
        <f t="shared" si="0"/>
        <v>0</v>
      </c>
      <c r="K31" s="20"/>
      <c r="N31" s="20"/>
      <c r="O31" s="20"/>
    </row>
    <row r="32" spans="2:15" x14ac:dyDescent="0.25">
      <c r="B32" s="476"/>
      <c r="C32" s="25" t="s">
        <v>85</v>
      </c>
      <c r="D32" s="68"/>
      <c r="E32" s="26">
        <f t="shared" si="4"/>
        <v>15</v>
      </c>
      <c r="F32" s="26">
        <f t="shared" si="5"/>
        <v>18</v>
      </c>
      <c r="G32" s="32">
        <v>0</v>
      </c>
      <c r="H32" s="108">
        <f t="shared" si="6"/>
        <v>145872.11935947539</v>
      </c>
      <c r="I32" s="34">
        <f>$J$62</f>
        <v>110.73</v>
      </c>
      <c r="J32" s="117">
        <f t="shared" si="0"/>
        <v>0</v>
      </c>
      <c r="K32" s="20"/>
      <c r="N32" s="20"/>
      <c r="O32" s="20"/>
    </row>
    <row r="33" spans="2:15" ht="31.5" x14ac:dyDescent="0.25">
      <c r="B33" s="476"/>
      <c r="C33" s="87" t="s">
        <v>133</v>
      </c>
      <c r="D33" s="68"/>
      <c r="E33" s="26">
        <f t="shared" si="4"/>
        <v>15</v>
      </c>
      <c r="F33" s="26">
        <f t="shared" si="5"/>
        <v>18</v>
      </c>
      <c r="G33" s="26">
        <f>$M$8</f>
        <v>86</v>
      </c>
      <c r="H33" s="108">
        <f t="shared" si="6"/>
        <v>145872.11935947539</v>
      </c>
      <c r="I33" s="34">
        <f>$J$62</f>
        <v>110.73</v>
      </c>
      <c r="J33" s="117">
        <f t="shared" si="0"/>
        <v>0</v>
      </c>
      <c r="K33" s="20"/>
      <c r="N33" s="20"/>
      <c r="O33" s="20"/>
    </row>
    <row r="34" spans="2:15" x14ac:dyDescent="0.25">
      <c r="B34" s="476"/>
      <c r="C34" s="25" t="s">
        <v>86</v>
      </c>
      <c r="D34" s="68">
        <v>0.23</v>
      </c>
      <c r="E34" s="26">
        <f t="shared" si="4"/>
        <v>15</v>
      </c>
      <c r="F34" s="26">
        <f t="shared" si="5"/>
        <v>18</v>
      </c>
      <c r="G34" s="32">
        <v>0</v>
      </c>
      <c r="H34" s="108">
        <f t="shared" si="6"/>
        <v>145872.11935947539</v>
      </c>
      <c r="I34" s="34"/>
      <c r="J34" s="117">
        <f t="shared" si="0"/>
        <v>0</v>
      </c>
      <c r="K34" s="20"/>
    </row>
    <row r="35" spans="2:15" x14ac:dyDescent="0.25">
      <c r="B35" s="476"/>
      <c r="C35" s="25" t="s">
        <v>87</v>
      </c>
      <c r="D35" s="247">
        <v>0.06</v>
      </c>
      <c r="E35" s="26">
        <f t="shared" si="4"/>
        <v>15</v>
      </c>
      <c r="F35" s="26">
        <f t="shared" si="5"/>
        <v>18</v>
      </c>
      <c r="G35" s="32">
        <v>0</v>
      </c>
      <c r="H35" s="108">
        <f t="shared" si="6"/>
        <v>145872.11935947539</v>
      </c>
      <c r="I35" s="34"/>
      <c r="J35" s="117">
        <f t="shared" si="0"/>
        <v>0</v>
      </c>
      <c r="K35" s="20"/>
      <c r="N35" s="20"/>
    </row>
    <row r="36" spans="2:15" x14ac:dyDescent="0.25">
      <c r="B36" s="476"/>
      <c r="C36" s="25" t="s">
        <v>508</v>
      </c>
      <c r="D36" s="68">
        <v>0.09</v>
      </c>
      <c r="E36" s="26">
        <f t="shared" si="4"/>
        <v>15</v>
      </c>
      <c r="F36" s="26">
        <f t="shared" si="5"/>
        <v>18</v>
      </c>
      <c r="G36" s="32">
        <v>0</v>
      </c>
      <c r="H36" s="108">
        <f t="shared" si="6"/>
        <v>145872.11935947539</v>
      </c>
      <c r="I36" s="34">
        <f t="shared" ref="I36:I42" si="7">$J$62</f>
        <v>110.73</v>
      </c>
      <c r="J36" s="117">
        <f t="shared" ref="J36" si="8">D36*H36*((I36/H36)^0.5)</f>
        <v>361.71065811096184</v>
      </c>
      <c r="K36" s="20"/>
      <c r="O36" s="20"/>
    </row>
    <row r="37" spans="2:15" x14ac:dyDescent="0.25">
      <c r="B37" s="476"/>
      <c r="C37" s="25" t="s">
        <v>88</v>
      </c>
      <c r="D37" s="68"/>
      <c r="E37" s="26">
        <f t="shared" si="4"/>
        <v>15</v>
      </c>
      <c r="F37" s="26">
        <f t="shared" si="5"/>
        <v>18</v>
      </c>
      <c r="G37" s="32">
        <v>0</v>
      </c>
      <c r="H37" s="108">
        <f t="shared" si="6"/>
        <v>145872.11935947539</v>
      </c>
      <c r="I37" s="34">
        <f t="shared" si="7"/>
        <v>110.73</v>
      </c>
      <c r="J37" s="117">
        <f t="shared" si="0"/>
        <v>0</v>
      </c>
      <c r="K37" s="20"/>
      <c r="O37" s="20"/>
    </row>
    <row r="38" spans="2:15" x14ac:dyDescent="0.25">
      <c r="B38" s="476"/>
      <c r="C38" s="25" t="s">
        <v>89</v>
      </c>
      <c r="D38" s="68"/>
      <c r="E38" s="26">
        <f t="shared" si="4"/>
        <v>15</v>
      </c>
      <c r="F38" s="26">
        <f t="shared" si="5"/>
        <v>18</v>
      </c>
      <c r="G38" s="32">
        <v>0</v>
      </c>
      <c r="H38" s="108">
        <f t="shared" si="6"/>
        <v>145872.11935947539</v>
      </c>
      <c r="I38" s="34">
        <f t="shared" si="7"/>
        <v>110.73</v>
      </c>
      <c r="J38" s="117">
        <f t="shared" si="0"/>
        <v>0</v>
      </c>
      <c r="K38" s="20"/>
      <c r="O38" s="20"/>
    </row>
    <row r="39" spans="2:15" x14ac:dyDescent="0.25">
      <c r="B39" s="476"/>
      <c r="C39" s="25" t="s">
        <v>90</v>
      </c>
      <c r="D39" s="68"/>
      <c r="E39" s="26">
        <f t="shared" si="4"/>
        <v>15</v>
      </c>
      <c r="F39" s="26">
        <f t="shared" si="5"/>
        <v>18</v>
      </c>
      <c r="G39" s="32">
        <v>0</v>
      </c>
      <c r="H39" s="108">
        <f t="shared" si="6"/>
        <v>145872.11935947539</v>
      </c>
      <c r="I39" s="34">
        <f t="shared" si="7"/>
        <v>110.73</v>
      </c>
      <c r="J39" s="117">
        <f t="shared" si="0"/>
        <v>0</v>
      </c>
      <c r="K39" s="20"/>
      <c r="O39" s="20"/>
    </row>
    <row r="40" spans="2:15" x14ac:dyDescent="0.25">
      <c r="B40" s="476"/>
      <c r="C40" s="53" t="s">
        <v>91</v>
      </c>
      <c r="D40" s="68"/>
      <c r="E40" s="26">
        <f t="shared" si="4"/>
        <v>15</v>
      </c>
      <c r="F40" s="26">
        <f t="shared" si="5"/>
        <v>18</v>
      </c>
      <c r="G40" s="35">
        <v>0</v>
      </c>
      <c r="H40" s="108">
        <f t="shared" si="6"/>
        <v>145872.11935947539</v>
      </c>
      <c r="I40" s="34">
        <f t="shared" si="7"/>
        <v>110.73</v>
      </c>
      <c r="J40" s="117">
        <f t="shared" si="0"/>
        <v>0</v>
      </c>
      <c r="K40" s="20"/>
      <c r="O40" s="20"/>
    </row>
    <row r="41" spans="2:15" x14ac:dyDescent="0.25">
      <c r="B41" s="476"/>
      <c r="C41" s="53" t="s">
        <v>92</v>
      </c>
      <c r="D41" s="68"/>
      <c r="E41" s="26">
        <f t="shared" si="4"/>
        <v>15</v>
      </c>
      <c r="F41" s="26">
        <f t="shared" si="5"/>
        <v>18</v>
      </c>
      <c r="G41" s="32">
        <v>0</v>
      </c>
      <c r="H41" s="108">
        <f t="shared" si="6"/>
        <v>145872.11935947539</v>
      </c>
      <c r="I41" s="34">
        <f t="shared" si="7"/>
        <v>110.73</v>
      </c>
      <c r="J41" s="117">
        <f t="shared" si="0"/>
        <v>0</v>
      </c>
      <c r="K41" s="20"/>
      <c r="O41" s="79"/>
    </row>
    <row r="42" spans="2:15" x14ac:dyDescent="0.25">
      <c r="B42" s="476"/>
      <c r="C42" s="53" t="s">
        <v>81</v>
      </c>
      <c r="D42" s="69"/>
      <c r="E42" s="26">
        <f t="shared" si="4"/>
        <v>15</v>
      </c>
      <c r="F42" s="26">
        <f t="shared" si="5"/>
        <v>18</v>
      </c>
      <c r="G42" s="32">
        <v>0</v>
      </c>
      <c r="H42" s="108">
        <f t="shared" si="6"/>
        <v>145872.11935947539</v>
      </c>
      <c r="I42" s="34">
        <f t="shared" si="7"/>
        <v>110.73</v>
      </c>
      <c r="J42" s="117">
        <f t="shared" si="0"/>
        <v>0</v>
      </c>
      <c r="K42" s="20"/>
      <c r="O42" s="80"/>
    </row>
    <row r="43" spans="2:15" x14ac:dyDescent="0.25">
      <c r="B43" s="476"/>
      <c r="C43" s="91"/>
      <c r="D43" s="66"/>
      <c r="E43" s="29"/>
      <c r="F43" s="29"/>
      <c r="G43" s="29"/>
      <c r="H43" s="29"/>
      <c r="I43" s="38" t="s">
        <v>48</v>
      </c>
      <c r="J43" s="116">
        <f>SUM(J27:J42)</f>
        <v>1176.6212096817783</v>
      </c>
      <c r="K43" s="20"/>
      <c r="O43" s="20"/>
    </row>
    <row r="44" spans="2:15" x14ac:dyDescent="0.25">
      <c r="B44" s="477" t="s">
        <v>49</v>
      </c>
      <c r="C44" s="25" t="s">
        <v>509</v>
      </c>
      <c r="D44" s="68">
        <v>0.18</v>
      </c>
      <c r="E44" s="26">
        <f>$M$6</f>
        <v>15</v>
      </c>
      <c r="F44" s="26">
        <f>$M$7</f>
        <v>18</v>
      </c>
      <c r="G44" s="35">
        <v>0</v>
      </c>
      <c r="H44" s="108">
        <f>$D$67</f>
        <v>113370.1993594754</v>
      </c>
      <c r="I44" s="34">
        <f>$J$62</f>
        <v>110.73</v>
      </c>
      <c r="J44" s="117">
        <f t="shared" si="0"/>
        <v>637.75608383803012</v>
      </c>
      <c r="K44" s="20"/>
      <c r="O44" s="20"/>
    </row>
    <row r="45" spans="2:15" ht="15.6" customHeight="1" x14ac:dyDescent="0.25">
      <c r="B45" s="464"/>
      <c r="C45" s="53" t="s">
        <v>100</v>
      </c>
      <c r="D45" s="69"/>
      <c r="E45" s="26">
        <f>$M$6</f>
        <v>15</v>
      </c>
      <c r="F45" s="26">
        <f>$M$7</f>
        <v>18</v>
      </c>
      <c r="G45" s="37">
        <v>0</v>
      </c>
      <c r="H45" s="108">
        <f>$D$66</f>
        <v>145872.11935947539</v>
      </c>
      <c r="I45" s="34">
        <f>$J$62</f>
        <v>110.73</v>
      </c>
      <c r="J45" s="117">
        <f t="shared" si="0"/>
        <v>0</v>
      </c>
      <c r="K45" s="20"/>
      <c r="O45" s="20"/>
    </row>
    <row r="46" spans="2:15" x14ac:dyDescent="0.25">
      <c r="B46" s="465"/>
      <c r="C46" s="58"/>
      <c r="D46" s="70"/>
      <c r="E46" s="55"/>
      <c r="F46" s="55"/>
      <c r="G46" s="56"/>
      <c r="H46" s="57"/>
      <c r="I46" s="38" t="s">
        <v>50</v>
      </c>
      <c r="J46" s="116">
        <f>SUM(J44:J45)</f>
        <v>637.75608383803012</v>
      </c>
      <c r="K46" s="20"/>
      <c r="O46" s="20"/>
    </row>
    <row r="47" spans="2:15" ht="15.6" customHeight="1" x14ac:dyDescent="0.25">
      <c r="B47" s="464" t="s">
        <v>113</v>
      </c>
      <c r="C47" s="53"/>
      <c r="D47" s="71" t="s">
        <v>115</v>
      </c>
      <c r="E47" s="59" t="s">
        <v>116</v>
      </c>
      <c r="F47" s="59" t="s">
        <v>117</v>
      </c>
      <c r="G47" s="59" t="s">
        <v>118</v>
      </c>
      <c r="H47" s="59" t="s">
        <v>119</v>
      </c>
      <c r="I47" s="59" t="s">
        <v>120</v>
      </c>
      <c r="J47" s="118"/>
      <c r="K47" s="20"/>
      <c r="O47" s="20"/>
    </row>
    <row r="48" spans="2:15" ht="30.95" customHeight="1" x14ac:dyDescent="0.25">
      <c r="B48" s="464"/>
      <c r="C48" s="61" t="s">
        <v>121</v>
      </c>
      <c r="D48" s="67" t="s">
        <v>101</v>
      </c>
      <c r="E48" s="78">
        <f>$M$2</f>
        <v>0</v>
      </c>
      <c r="F48" s="31" t="s">
        <v>123</v>
      </c>
      <c r="G48" s="32" t="s">
        <v>123</v>
      </c>
      <c r="H48" s="33">
        <v>0.31</v>
      </c>
      <c r="I48" s="33">
        <f>E48*H48</f>
        <v>0</v>
      </c>
      <c r="J48" s="119">
        <f>I48</f>
        <v>0</v>
      </c>
      <c r="K48" s="20"/>
      <c r="O48" s="20"/>
    </row>
    <row r="49" spans="2:15" ht="30.95" customHeight="1" x14ac:dyDescent="0.25">
      <c r="B49" s="464"/>
      <c r="C49" s="60" t="s">
        <v>122</v>
      </c>
      <c r="D49" s="69" t="s">
        <v>114</v>
      </c>
      <c r="E49" s="54"/>
      <c r="F49" s="31" t="s">
        <v>123</v>
      </c>
      <c r="G49" s="32" t="s">
        <v>123</v>
      </c>
      <c r="H49" s="26">
        <v>54.52</v>
      </c>
      <c r="I49" s="33">
        <f>E49*H49</f>
        <v>0</v>
      </c>
      <c r="J49" s="120">
        <f>I49</f>
        <v>0</v>
      </c>
      <c r="K49" s="20"/>
      <c r="O49" s="20"/>
    </row>
    <row r="50" spans="2:15" ht="15.6" customHeight="1" x14ac:dyDescent="0.25">
      <c r="B50" s="465"/>
      <c r="C50" s="53"/>
      <c r="D50" s="66"/>
      <c r="E50" s="29"/>
      <c r="F50" s="29"/>
      <c r="G50" s="29"/>
      <c r="H50" s="29"/>
      <c r="I50" s="30" t="s">
        <v>124</v>
      </c>
      <c r="J50" s="116">
        <f>SUM(J48:J49)</f>
        <v>0</v>
      </c>
      <c r="K50" s="20"/>
      <c r="O50" s="20"/>
    </row>
    <row r="51" spans="2:15" x14ac:dyDescent="0.25">
      <c r="B51" s="463" t="s">
        <v>96</v>
      </c>
      <c r="C51" s="53" t="s">
        <v>98</v>
      </c>
      <c r="D51" s="67">
        <v>0.37</v>
      </c>
      <c r="E51" s="26">
        <f>$M$6</f>
        <v>15</v>
      </c>
      <c r="F51" s="26">
        <f>$M$7</f>
        <v>18</v>
      </c>
      <c r="G51" s="26">
        <f>$M$8</f>
        <v>86</v>
      </c>
      <c r="H51" s="108">
        <f>$D$66</f>
        <v>145872.11935947539</v>
      </c>
      <c r="I51" s="34">
        <f>J62</f>
        <v>110.73</v>
      </c>
      <c r="J51" s="117">
        <f t="shared" ref="J51:J52" si="9">D51*H51*((I51/H51)^0.5)</f>
        <v>1487.0327055672876</v>
      </c>
      <c r="K51" s="20"/>
      <c r="O51" s="20"/>
    </row>
    <row r="52" spans="2:15" ht="15.6" customHeight="1" x14ac:dyDescent="0.25">
      <c r="B52" s="463"/>
      <c r="C52" s="36" t="s">
        <v>99</v>
      </c>
      <c r="D52" s="69"/>
      <c r="E52" s="26">
        <f>$M$6</f>
        <v>15</v>
      </c>
      <c r="F52" s="26">
        <f>$M$7</f>
        <v>18</v>
      </c>
      <c r="G52" s="26">
        <f>$M$8</f>
        <v>86</v>
      </c>
      <c r="H52" s="108">
        <f>$D$66</f>
        <v>145872.11935947539</v>
      </c>
      <c r="I52" s="34">
        <f>J63</f>
        <v>0</v>
      </c>
      <c r="J52" s="117">
        <f t="shared" si="9"/>
        <v>0</v>
      </c>
      <c r="K52" s="20"/>
      <c r="O52" s="20"/>
    </row>
    <row r="53" spans="2:15" x14ac:dyDescent="0.25">
      <c r="B53" s="463"/>
      <c r="C53" s="53"/>
      <c r="D53" s="66"/>
      <c r="E53" s="29"/>
      <c r="F53" s="29"/>
      <c r="G53" s="29"/>
      <c r="H53" s="29"/>
      <c r="I53" s="30" t="s">
        <v>51</v>
      </c>
      <c r="J53" s="116">
        <f>SUM(J51:J52)</f>
        <v>1487.0327055672876</v>
      </c>
      <c r="K53" s="20"/>
      <c r="O53" s="20"/>
    </row>
    <row r="54" spans="2:15" x14ac:dyDescent="0.25">
      <c r="B54" s="121"/>
      <c r="C54" s="29"/>
      <c r="D54" s="66"/>
      <c r="E54" s="29"/>
      <c r="F54" s="29"/>
      <c r="G54" s="29"/>
      <c r="H54" s="29"/>
      <c r="I54" s="30" t="s">
        <v>54</v>
      </c>
      <c r="J54" s="116">
        <f>SUM(J16:J53)/2</f>
        <v>6642.8383361491024</v>
      </c>
      <c r="K54" s="39"/>
      <c r="O54" s="20"/>
    </row>
    <row r="55" spans="2:15" x14ac:dyDescent="0.25">
      <c r="B55" s="122"/>
      <c r="C55" s="109"/>
      <c r="D55" s="110"/>
      <c r="E55" s="109"/>
      <c r="F55" s="109"/>
      <c r="G55" s="109"/>
      <c r="H55" s="109"/>
      <c r="I55" s="45"/>
      <c r="J55" s="123"/>
    </row>
    <row r="56" spans="2:15" x14ac:dyDescent="0.25">
      <c r="B56" s="122"/>
      <c r="C56" s="109"/>
      <c r="D56" s="110"/>
      <c r="E56" s="109"/>
      <c r="F56" s="109"/>
      <c r="G56" s="109"/>
      <c r="H56" s="109"/>
      <c r="I56" s="45"/>
      <c r="J56" s="123"/>
    </row>
    <row r="57" spans="2:15" x14ac:dyDescent="0.25">
      <c r="B57" s="124"/>
      <c r="C57" s="1"/>
      <c r="D57" s="72"/>
      <c r="E57" s="1"/>
      <c r="F57" s="1"/>
      <c r="G57" s="1"/>
      <c r="H57" s="114" t="s">
        <v>178</v>
      </c>
      <c r="I57" s="214" t="str">
        <f>'Planilha Orçamentária'!F15</f>
        <v>NÃO DESONERADO</v>
      </c>
      <c r="J57" s="125"/>
    </row>
    <row r="58" spans="2:15" x14ac:dyDescent="0.25">
      <c r="B58" s="124"/>
      <c r="C58" s="1"/>
      <c r="D58" s="72"/>
      <c r="E58" s="1"/>
      <c r="F58" s="1"/>
      <c r="G58" s="1"/>
      <c r="H58" s="111" t="s">
        <v>179</v>
      </c>
      <c r="I58" s="112" t="str">
        <f>'Planilha Orçamentária'!E15</f>
        <v xml:space="preserve"> AGOSTO/2023</v>
      </c>
      <c r="J58" s="126"/>
    </row>
    <row r="59" spans="2:15" x14ac:dyDescent="0.25">
      <c r="B59" s="124"/>
      <c r="C59" s="1"/>
      <c r="D59" s="72"/>
      <c r="E59" s="1"/>
      <c r="F59" s="1"/>
      <c r="G59" s="1"/>
      <c r="H59" s="113" t="s">
        <v>180</v>
      </c>
      <c r="I59" s="113" t="s">
        <v>181</v>
      </c>
      <c r="J59" s="127" t="s">
        <v>182</v>
      </c>
    </row>
    <row r="60" spans="2:15" x14ac:dyDescent="0.25">
      <c r="B60" s="124"/>
      <c r="C60" s="1"/>
      <c r="D60" s="72"/>
      <c r="E60" s="1"/>
      <c r="F60" s="1"/>
      <c r="G60" s="1"/>
      <c r="H60" s="157">
        <v>34782</v>
      </c>
      <c r="I60" s="157" t="s">
        <v>183</v>
      </c>
      <c r="J60" s="128">
        <v>127.49</v>
      </c>
    </row>
    <row r="61" spans="2:15" x14ac:dyDescent="0.25">
      <c r="B61" s="124"/>
      <c r="D61" s="72"/>
      <c r="E61" s="1"/>
      <c r="F61" s="1"/>
      <c r="G61" s="1"/>
      <c r="H61" s="157">
        <v>33953</v>
      </c>
      <c r="I61" s="157" t="s">
        <v>184</v>
      </c>
      <c r="J61" s="128">
        <v>116.66</v>
      </c>
    </row>
    <row r="62" spans="2:15" x14ac:dyDescent="0.25">
      <c r="B62" s="129" t="s">
        <v>60</v>
      </c>
      <c r="D62" s="72"/>
      <c r="E62" s="1"/>
      <c r="F62" s="1"/>
      <c r="G62" s="1"/>
      <c r="H62" s="157">
        <v>34783</v>
      </c>
      <c r="I62" s="157" t="s">
        <v>185</v>
      </c>
      <c r="J62" s="128">
        <v>110.73</v>
      </c>
    </row>
    <row r="63" spans="2:15" x14ac:dyDescent="0.25">
      <c r="B63" s="130" t="s">
        <v>66</v>
      </c>
      <c r="C63" s="466" t="s">
        <v>140</v>
      </c>
      <c r="D63" s="466"/>
      <c r="E63" s="1"/>
      <c r="F63" s="1"/>
      <c r="G63" s="1"/>
      <c r="H63" s="204"/>
      <c r="I63" s="43"/>
      <c r="J63" s="205"/>
    </row>
    <row r="64" spans="2:15" x14ac:dyDescent="0.25">
      <c r="B64" s="130" t="s">
        <v>68</v>
      </c>
      <c r="C64" s="466" t="s">
        <v>71</v>
      </c>
      <c r="D64" s="466"/>
      <c r="E64" s="1"/>
      <c r="F64" s="1"/>
      <c r="G64" s="1"/>
      <c r="H64" s="204"/>
      <c r="I64" s="43"/>
      <c r="J64" s="206"/>
    </row>
    <row r="65" spans="2:10" x14ac:dyDescent="0.25">
      <c r="B65" s="130" t="s">
        <v>136</v>
      </c>
      <c r="C65" s="466" t="s">
        <v>137</v>
      </c>
      <c r="D65" s="466"/>
      <c r="E65" s="1"/>
      <c r="F65" s="1"/>
      <c r="G65" s="1"/>
      <c r="H65" s="204"/>
      <c r="I65" s="43"/>
      <c r="J65" s="206"/>
    </row>
    <row r="66" spans="2:10" x14ac:dyDescent="0.25">
      <c r="B66" s="209" t="s">
        <v>403</v>
      </c>
      <c r="C66" s="210" t="s">
        <v>510</v>
      </c>
      <c r="D66" s="211">
        <f>SUM(D67:D68)</f>
        <v>145872.11935947539</v>
      </c>
      <c r="E66" s="1"/>
      <c r="F66" s="1"/>
      <c r="G66" s="1"/>
      <c r="H66" s="204"/>
      <c r="I66" s="43"/>
      <c r="J66" s="206"/>
    </row>
    <row r="67" spans="2:10" x14ac:dyDescent="0.25">
      <c r="B67" s="209" t="s">
        <v>489</v>
      </c>
      <c r="C67" s="210" t="s">
        <v>511</v>
      </c>
      <c r="D67" s="211">
        <f>'Estimat. Preço'!H19</f>
        <v>113370.1993594754</v>
      </c>
      <c r="E67" s="1"/>
      <c r="F67" s="1"/>
      <c r="G67" s="1"/>
      <c r="H67" s="204"/>
      <c r="I67" s="43"/>
      <c r="J67" s="206"/>
    </row>
    <row r="68" spans="2:10" x14ac:dyDescent="0.25">
      <c r="B68" s="209" t="s">
        <v>490</v>
      </c>
      <c r="C68" s="210" t="s">
        <v>512</v>
      </c>
      <c r="D68" s="211">
        <f>'Estimat. Preço'!H23</f>
        <v>32501.919999999998</v>
      </c>
      <c r="E68" s="1"/>
      <c r="F68" s="1"/>
      <c r="G68" s="1"/>
      <c r="H68" s="204"/>
      <c r="I68" s="43"/>
      <c r="J68" s="206"/>
    </row>
    <row r="69" spans="2:10" x14ac:dyDescent="0.25">
      <c r="B69" s="209" t="s">
        <v>408</v>
      </c>
      <c r="C69" s="210" t="s">
        <v>399</v>
      </c>
      <c r="D69" s="211">
        <f>SUM(D70:G73)</f>
        <v>567872.70460379752</v>
      </c>
      <c r="E69" s="1"/>
      <c r="F69" s="1"/>
      <c r="G69" s="1"/>
      <c r="H69" s="204"/>
      <c r="I69" s="43"/>
      <c r="J69" s="206"/>
    </row>
    <row r="70" spans="2:10" x14ac:dyDescent="0.25">
      <c r="B70" s="209" t="s">
        <v>404</v>
      </c>
      <c r="C70" s="210" t="s">
        <v>412</v>
      </c>
      <c r="D70" s="211">
        <f>'Estimat. Preço'!H30</f>
        <v>42764.358000000007</v>
      </c>
      <c r="E70" s="1"/>
      <c r="F70" s="1"/>
      <c r="G70" s="1"/>
      <c r="H70" s="204"/>
      <c r="I70" s="43"/>
      <c r="J70" s="206"/>
    </row>
    <row r="71" spans="2:10" x14ac:dyDescent="0.25">
      <c r="B71" s="209" t="s">
        <v>405</v>
      </c>
      <c r="C71" s="210" t="s">
        <v>411</v>
      </c>
      <c r="D71" s="211">
        <f>'Estimat. Preço'!H37</f>
        <v>70962.667992233008</v>
      </c>
      <c r="E71" s="1"/>
      <c r="F71" s="1"/>
      <c r="G71" s="1"/>
      <c r="H71" s="204"/>
      <c r="I71" s="43"/>
      <c r="J71" s="206"/>
    </row>
    <row r="72" spans="2:10" x14ac:dyDescent="0.25">
      <c r="B72" s="209" t="s">
        <v>406</v>
      </c>
      <c r="C72" s="210" t="s">
        <v>410</v>
      </c>
      <c r="D72" s="211">
        <f>'Estimat. Preço'!H40</f>
        <v>25994.48</v>
      </c>
      <c r="E72" s="1"/>
      <c r="F72" s="1"/>
      <c r="G72" s="1"/>
      <c r="H72" s="204"/>
      <c r="I72" s="43"/>
      <c r="J72" s="206"/>
    </row>
    <row r="73" spans="2:10" x14ac:dyDescent="0.25">
      <c r="B73" s="209" t="s">
        <v>407</v>
      </c>
      <c r="C73" s="210" t="s">
        <v>409</v>
      </c>
      <c r="D73" s="211">
        <f>'Estimat. Preço'!H46</f>
        <v>428151.19861156453</v>
      </c>
      <c r="E73" s="1"/>
      <c r="F73" s="1"/>
      <c r="G73" s="1"/>
      <c r="H73" s="204"/>
      <c r="I73" s="43"/>
      <c r="J73" s="206"/>
    </row>
    <row r="74" spans="2:10" ht="16.5" customHeight="1" thickBot="1" x14ac:dyDescent="0.3">
      <c r="B74" s="131" t="s">
        <v>414</v>
      </c>
      <c r="C74" s="290" t="s">
        <v>415</v>
      </c>
      <c r="D74" s="291">
        <f>50*'Estimat. Preço'!G44</f>
        <v>111190.19758157506</v>
      </c>
      <c r="E74" s="292"/>
      <c r="F74" s="292"/>
      <c r="G74" s="292"/>
      <c r="H74" s="207"/>
      <c r="I74" s="208"/>
      <c r="J74" s="293"/>
    </row>
    <row r="75" spans="2:10" x14ac:dyDescent="0.25">
      <c r="B75" s="43"/>
      <c r="C75" s="10"/>
      <c r="D75" s="218"/>
      <c r="E75" s="219"/>
      <c r="F75" s="10"/>
      <c r="G75" s="10"/>
      <c r="H75" s="204"/>
      <c r="I75" s="43"/>
      <c r="J75" s="44"/>
    </row>
    <row r="76" spans="2:10" x14ac:dyDescent="0.25">
      <c r="B76" s="43"/>
      <c r="C76" s="10"/>
      <c r="D76" s="218"/>
      <c r="E76" s="219"/>
      <c r="F76" s="10"/>
      <c r="G76" s="10"/>
      <c r="H76" s="204"/>
      <c r="I76" s="43"/>
      <c r="J76" s="44"/>
    </row>
    <row r="77" spans="2:10" x14ac:dyDescent="0.25">
      <c r="B77" s="43"/>
      <c r="C77" s="10"/>
      <c r="D77" s="218"/>
      <c r="E77" s="219"/>
      <c r="F77" s="10"/>
      <c r="G77" s="10"/>
      <c r="H77" s="204"/>
      <c r="I77" s="43"/>
      <c r="J77" s="44"/>
    </row>
    <row r="78" spans="2:10" x14ac:dyDescent="0.25">
      <c r="B78" s="43"/>
      <c r="C78" s="10"/>
      <c r="D78" s="218"/>
      <c r="E78" s="219"/>
      <c r="F78" s="10"/>
      <c r="G78" s="10"/>
      <c r="H78" s="204"/>
      <c r="I78" s="43"/>
      <c r="J78" s="44"/>
    </row>
    <row r="79" spans="2:10" x14ac:dyDescent="0.25">
      <c r="B79" s="43"/>
      <c r="C79" s="10"/>
      <c r="D79" s="218"/>
      <c r="E79" s="219"/>
      <c r="F79" s="10"/>
      <c r="G79" s="10"/>
      <c r="H79" s="204"/>
      <c r="I79" s="43"/>
      <c r="J79" s="44"/>
    </row>
  </sheetData>
  <mergeCells count="17">
    <mergeCell ref="B16:B19"/>
    <mergeCell ref="B20:B26"/>
    <mergeCell ref="B27:B43"/>
    <mergeCell ref="B44:B46"/>
    <mergeCell ref="B6:J6"/>
    <mergeCell ref="B8:J8"/>
    <mergeCell ref="B10:J10"/>
    <mergeCell ref="B11:J11"/>
    <mergeCell ref="B13:J13"/>
    <mergeCell ref="B9:J9"/>
    <mergeCell ref="B7:J7"/>
    <mergeCell ref="B12:J12"/>
    <mergeCell ref="B51:B53"/>
    <mergeCell ref="B47:B50"/>
    <mergeCell ref="C65:D65"/>
    <mergeCell ref="C63:D63"/>
    <mergeCell ref="C64:D64"/>
  </mergeCells>
  <phoneticPr fontId="5" type="noConversion"/>
  <printOptions horizontalCentered="1"/>
  <pageMargins left="0.25" right="0.25" top="0.75" bottom="0.75" header="0.3" footer="0.3"/>
  <pageSetup paperSize="9" scale="74" orientation="landscape" r:id="rId1"/>
  <ignoredErrors>
    <ignoredError sqref="J43 J26" formula="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F1B36-C8DF-44B8-A043-FD98F44944C6}">
  <dimension ref="B1:L58"/>
  <sheetViews>
    <sheetView zoomScaleNormal="100" zoomScaleSheetLayoutView="100" workbookViewId="0">
      <selection activeCell="G16" sqref="G16"/>
    </sheetView>
  </sheetViews>
  <sheetFormatPr defaultColWidth="9.140625" defaultRowHeight="15.75" x14ac:dyDescent="0.25"/>
  <cols>
    <col min="1" max="1" width="7.42578125" style="20" customWidth="1"/>
    <col min="2" max="2" width="14.28515625" style="20" bestFit="1" customWidth="1"/>
    <col min="3" max="3" width="14.28515625" style="20" customWidth="1"/>
    <col min="4" max="4" width="61.5703125" style="20" customWidth="1"/>
    <col min="5" max="5" width="8.42578125" style="73" bestFit="1" customWidth="1"/>
    <col min="6" max="6" width="10.5703125" style="40" bestFit="1" customWidth="1"/>
    <col min="7" max="7" width="11.42578125" style="40" bestFit="1" customWidth="1"/>
    <col min="8" max="8" width="16.140625" style="40" bestFit="1" customWidth="1"/>
    <col min="9" max="9" width="16.140625" style="40" customWidth="1"/>
    <col min="10" max="10" width="16.140625" style="40" bestFit="1" customWidth="1"/>
    <col min="11" max="11" width="69.140625" style="41" customWidth="1"/>
    <col min="12" max="16384" width="9.140625" style="20"/>
  </cols>
  <sheetData>
    <row r="1" spans="2:12" s="10" customFormat="1" x14ac:dyDescent="0.25">
      <c r="E1" s="64"/>
    </row>
    <row r="2" spans="2:12" s="10" customFormat="1" x14ac:dyDescent="0.25">
      <c r="E2" s="64"/>
    </row>
    <row r="3" spans="2:12" s="10" customFormat="1" x14ac:dyDescent="0.25">
      <c r="E3" s="64"/>
    </row>
    <row r="4" spans="2:12" s="10" customFormat="1" x14ac:dyDescent="0.25">
      <c r="E4" s="64"/>
    </row>
    <row r="5" spans="2:12" s="10" customFormat="1" x14ac:dyDescent="0.25">
      <c r="E5" s="64"/>
    </row>
    <row r="6" spans="2:12" s="10" customFormat="1" ht="15.75" customHeight="1" x14ac:dyDescent="0.25">
      <c r="B6" s="394" t="s">
        <v>7</v>
      </c>
      <c r="C6" s="394"/>
      <c r="D6" s="394"/>
      <c r="E6" s="394"/>
      <c r="F6" s="394"/>
      <c r="G6" s="394"/>
      <c r="H6" s="394"/>
      <c r="I6" s="394"/>
      <c r="J6" s="394"/>
    </row>
    <row r="7" spans="2:12" s="10" customFormat="1" ht="15.75" customHeight="1" x14ac:dyDescent="0.25">
      <c r="B7" s="394" t="s">
        <v>8</v>
      </c>
      <c r="C7" s="394"/>
      <c r="D7" s="394"/>
      <c r="E7" s="394"/>
      <c r="F7" s="394"/>
      <c r="G7" s="394"/>
      <c r="H7" s="394"/>
      <c r="I7" s="394"/>
      <c r="J7" s="394"/>
    </row>
    <row r="8" spans="2:12" s="10" customFormat="1" ht="15.75" customHeight="1" x14ac:dyDescent="0.25">
      <c r="B8" s="394" t="str">
        <f>'Planilha Sintética'!B8:H8</f>
        <v>GRUPO TÉCNICO EM EDIFICAÇÕES - GTED/SR/PF/PI</v>
      </c>
      <c r="C8" s="394"/>
      <c r="D8" s="394"/>
      <c r="E8" s="394"/>
      <c r="F8" s="394"/>
      <c r="G8" s="394"/>
      <c r="H8" s="394"/>
      <c r="I8" s="394"/>
      <c r="J8" s="394"/>
    </row>
    <row r="9" spans="2:12" s="10" customFormat="1" x14ac:dyDescent="0.25">
      <c r="B9" s="394"/>
      <c r="C9" s="394"/>
      <c r="D9" s="394"/>
      <c r="E9" s="394"/>
      <c r="F9" s="394"/>
      <c r="G9" s="394"/>
      <c r="H9" s="394"/>
      <c r="I9" s="394"/>
      <c r="J9" s="394"/>
    </row>
    <row r="10" spans="2:12" s="10" customFormat="1" ht="16.5" thickBot="1" x14ac:dyDescent="0.3">
      <c r="B10" s="467" t="str">
        <f>'Mem. Calc.'!B10:J10</f>
        <v>ANEXO I</v>
      </c>
      <c r="C10" s="467"/>
      <c r="D10" s="467"/>
      <c r="E10" s="467"/>
      <c r="F10" s="467"/>
      <c r="G10" s="467"/>
      <c r="H10" s="467"/>
      <c r="I10" s="467"/>
      <c r="J10" s="467"/>
    </row>
    <row r="11" spans="2:12" ht="15.75" customHeight="1" x14ac:dyDescent="0.25">
      <c r="B11" s="468" t="s">
        <v>221</v>
      </c>
      <c r="C11" s="469"/>
      <c r="D11" s="469"/>
      <c r="E11" s="469"/>
      <c r="F11" s="469"/>
      <c r="G11" s="469"/>
      <c r="H11" s="469"/>
      <c r="I11" s="469"/>
      <c r="J11" s="470"/>
      <c r="K11" s="10"/>
      <c r="L11" s="10"/>
    </row>
    <row r="12" spans="2:12" ht="15.75" customHeight="1" x14ac:dyDescent="0.25">
      <c r="B12" s="474" t="s">
        <v>188</v>
      </c>
      <c r="C12" s="397"/>
      <c r="D12" s="397"/>
      <c r="E12" s="397"/>
      <c r="F12" s="397"/>
      <c r="G12" s="397"/>
      <c r="H12" s="397"/>
      <c r="I12" s="397"/>
      <c r="J12" s="475"/>
      <c r="K12" s="10"/>
      <c r="L12" s="10"/>
    </row>
    <row r="13" spans="2:12" x14ac:dyDescent="0.25">
      <c r="B13" s="471"/>
      <c r="C13" s="472"/>
      <c r="D13" s="472"/>
      <c r="E13" s="472"/>
      <c r="F13" s="472"/>
      <c r="G13" s="472"/>
      <c r="H13" s="472"/>
      <c r="I13" s="472"/>
      <c r="J13" s="473"/>
      <c r="K13" s="10"/>
      <c r="L13" s="10"/>
    </row>
    <row r="14" spans="2:12" x14ac:dyDescent="0.25">
      <c r="B14" s="159" t="s">
        <v>0</v>
      </c>
      <c r="C14" s="195" t="s">
        <v>382</v>
      </c>
      <c r="D14" s="59" t="s">
        <v>215</v>
      </c>
      <c r="E14" s="24" t="s">
        <v>216</v>
      </c>
      <c r="F14" s="116" t="s">
        <v>217</v>
      </c>
      <c r="G14" s="22" t="s">
        <v>218</v>
      </c>
      <c r="H14" s="22" t="s">
        <v>219</v>
      </c>
      <c r="I14" s="23" t="s">
        <v>37</v>
      </c>
      <c r="J14" s="301" t="s">
        <v>4</v>
      </c>
      <c r="K14" s="10"/>
      <c r="L14" s="10"/>
    </row>
    <row r="15" spans="2:12" ht="47.25" x14ac:dyDescent="0.25">
      <c r="B15" s="267">
        <v>1</v>
      </c>
      <c r="C15" s="268"/>
      <c r="D15" s="269" t="str">
        <f>'Planilha Orçamentária'!C17</f>
        <v>Contratação dos projetos básicos e executivos para construção de Centro de Treinamento Policial na sede atual da DPF/PHB/PI</v>
      </c>
      <c r="E15" s="270"/>
      <c r="F15" s="270"/>
      <c r="G15" s="270"/>
      <c r="H15" s="270"/>
      <c r="I15" s="270"/>
      <c r="J15" s="302"/>
      <c r="K15" s="10"/>
      <c r="L15" s="10"/>
    </row>
    <row r="16" spans="2:12" x14ac:dyDescent="0.25">
      <c r="B16" s="283" t="s">
        <v>30</v>
      </c>
      <c r="C16" s="284"/>
      <c r="D16" s="285" t="s">
        <v>513</v>
      </c>
      <c r="E16" s="286" t="s">
        <v>223</v>
      </c>
      <c r="F16" s="287">
        <f>'Mem. Calc.'!M9</f>
        <v>86</v>
      </c>
      <c r="G16" s="202">
        <f>H16/F16</f>
        <v>1318.2581320869233</v>
      </c>
      <c r="H16" s="287">
        <f>'Orç. Dep. SR-PR'!J50</f>
        <v>113370.1993594754</v>
      </c>
      <c r="I16" s="287">
        <f>H16*'Orç. Dep. SR-PR'!$H$3</f>
        <v>28251.853680381271</v>
      </c>
      <c r="J16" s="303">
        <f>IF(F16="","",H16+I16)</f>
        <v>141622.05303985666</v>
      </c>
      <c r="K16" s="10"/>
      <c r="L16" s="10"/>
    </row>
    <row r="17" spans="2:12" ht="33" customHeight="1" x14ac:dyDescent="0.25">
      <c r="B17" s="199" t="s">
        <v>385</v>
      </c>
      <c r="C17" s="482" t="s">
        <v>427</v>
      </c>
      <c r="D17" s="483"/>
      <c r="E17" s="483"/>
      <c r="F17" s="483"/>
      <c r="G17" s="483"/>
      <c r="H17" s="483"/>
      <c r="I17" s="483"/>
      <c r="J17" s="484"/>
      <c r="K17" s="10"/>
      <c r="L17" s="10"/>
    </row>
    <row r="18" spans="2:12" x14ac:dyDescent="0.25">
      <c r="B18" s="161"/>
      <c r="C18" s="200" t="s">
        <v>220</v>
      </c>
      <c r="D18" s="201" t="s">
        <v>378</v>
      </c>
      <c r="E18" s="68" t="s">
        <v>223</v>
      </c>
      <c r="F18" s="35">
        <v>122</v>
      </c>
      <c r="G18" s="202">
        <f>H18/F18</f>
        <v>1002.0639344262295</v>
      </c>
      <c r="H18" s="35">
        <v>122251.8</v>
      </c>
      <c r="I18" s="160"/>
      <c r="J18" s="304"/>
      <c r="K18" s="10"/>
      <c r="L18" s="10"/>
    </row>
    <row r="19" spans="2:12" x14ac:dyDescent="0.25">
      <c r="B19" s="478" t="s">
        <v>392</v>
      </c>
      <c r="C19" s="479"/>
      <c r="D19" s="479"/>
      <c r="E19" s="479"/>
      <c r="F19" s="479"/>
      <c r="G19" s="479"/>
      <c r="H19" s="203">
        <f>SUM(H16)</f>
        <v>113370.1993594754</v>
      </c>
      <c r="I19" s="203">
        <f>SUM(I16)</f>
        <v>28251.853680381271</v>
      </c>
      <c r="J19" s="305">
        <f>SUM(J16)</f>
        <v>141622.05303985666</v>
      </c>
      <c r="K19" s="10"/>
      <c r="L19" s="10"/>
    </row>
    <row r="20" spans="2:12" ht="32.450000000000003" customHeight="1" x14ac:dyDescent="0.25">
      <c r="B20" s="199" t="s">
        <v>385</v>
      </c>
      <c r="C20" s="482" t="s">
        <v>493</v>
      </c>
      <c r="D20" s="483"/>
      <c r="E20" s="483"/>
      <c r="F20" s="483"/>
      <c r="G20" s="483"/>
      <c r="H20" s="483"/>
      <c r="I20" s="483"/>
      <c r="J20" s="484"/>
      <c r="K20" s="10"/>
      <c r="L20" s="10"/>
    </row>
    <row r="21" spans="2:12" x14ac:dyDescent="0.25">
      <c r="B21" s="283" t="s">
        <v>23</v>
      </c>
      <c r="C21" s="288"/>
      <c r="D21" s="285" t="s">
        <v>397</v>
      </c>
      <c r="E21" s="286"/>
      <c r="F21" s="287"/>
      <c r="G21" s="287"/>
      <c r="H21" s="289" t="str">
        <f>IF(F21="","",F21*G21)</f>
        <v/>
      </c>
      <c r="I21" s="289"/>
      <c r="J21" s="303"/>
      <c r="K21" s="10"/>
      <c r="L21" s="10"/>
    </row>
    <row r="22" spans="2:12" ht="29.45" customHeight="1" x14ac:dyDescent="0.25">
      <c r="B22" s="158" t="s">
        <v>488</v>
      </c>
      <c r="C22" s="157">
        <v>102362</v>
      </c>
      <c r="D22" s="196" t="s">
        <v>398</v>
      </c>
      <c r="E22" s="68" t="s">
        <v>223</v>
      </c>
      <c r="F22" s="68">
        <f>88*2</f>
        <v>176</v>
      </c>
      <c r="G22" s="68">
        <v>184.67</v>
      </c>
      <c r="H22" s="35">
        <f>IF(F22="","",F22*G22)</f>
        <v>32501.919999999998</v>
      </c>
      <c r="I22" s="35">
        <f>H22*'Orç. Dep. SR-PR'!$H$3</f>
        <v>8099.4784639999998</v>
      </c>
      <c r="J22" s="304">
        <f>IF(F22="","",H22+I22)</f>
        <v>40601.398463999998</v>
      </c>
      <c r="K22" s="10"/>
      <c r="L22" s="10"/>
    </row>
    <row r="23" spans="2:12" x14ac:dyDescent="0.25">
      <c r="B23" s="478" t="s">
        <v>392</v>
      </c>
      <c r="C23" s="479"/>
      <c r="D23" s="479"/>
      <c r="E23" s="479"/>
      <c r="F23" s="479"/>
      <c r="G23" s="479"/>
      <c r="H23" s="203">
        <f>SUM(H22:H22)</f>
        <v>32501.919999999998</v>
      </c>
      <c r="I23" s="203">
        <f>SUM(I22:I22)</f>
        <v>8099.4784639999998</v>
      </c>
      <c r="J23" s="305">
        <f>SUM(J22:J22)</f>
        <v>40601.398463999998</v>
      </c>
      <c r="K23" s="10"/>
      <c r="L23" s="10"/>
    </row>
    <row r="24" spans="2:12" ht="16.5" thickBot="1" x14ac:dyDescent="0.3">
      <c r="B24" s="480" t="s">
        <v>380</v>
      </c>
      <c r="C24" s="481"/>
      <c r="D24" s="481"/>
      <c r="E24" s="481"/>
      <c r="F24" s="481"/>
      <c r="G24" s="481"/>
      <c r="H24" s="308">
        <f>SUM(H19,H23)</f>
        <v>145872.11935947539</v>
      </c>
      <c r="I24" s="308">
        <f>SUM(I19,I23)</f>
        <v>36351.332144381275</v>
      </c>
      <c r="J24" s="309">
        <f>SUM(J19,J23)</f>
        <v>182223.45150385666</v>
      </c>
      <c r="K24" s="10"/>
      <c r="L24" s="10"/>
    </row>
    <row r="25" spans="2:12" x14ac:dyDescent="0.25">
      <c r="B25" s="271">
        <v>2</v>
      </c>
      <c r="C25" s="272"/>
      <c r="D25" s="273" t="e">
        <f>'Planilha Orçamentária'!#REF!</f>
        <v>#REF!</v>
      </c>
      <c r="E25" s="274"/>
      <c r="F25" s="274"/>
      <c r="G25" s="274"/>
      <c r="H25" s="274"/>
      <c r="I25" s="274"/>
      <c r="J25" s="306"/>
      <c r="K25" s="10"/>
      <c r="L25" s="10"/>
    </row>
    <row r="26" spans="2:12" ht="47.25" x14ac:dyDescent="0.25">
      <c r="B26" s="275" t="s">
        <v>186</v>
      </c>
      <c r="C26" s="276"/>
      <c r="D26" s="277" t="s">
        <v>226</v>
      </c>
      <c r="E26" s="278" t="s">
        <v>223</v>
      </c>
      <c r="F26" s="279">
        <f>(2*10.8)+(3.7*4)</f>
        <v>36.400000000000006</v>
      </c>
      <c r="G26" s="202">
        <f>G28+(G28*11.89%)</f>
        <v>1174.845</v>
      </c>
      <c r="H26" s="279">
        <f>IF(F26="","",F26*G26)</f>
        <v>42764.358000000007</v>
      </c>
      <c r="I26" s="279">
        <f>H26*'Orç. Dep. SR-PR'!$H$3</f>
        <v>10656.878013600002</v>
      </c>
      <c r="J26" s="307">
        <f>IF(F26="","",H26+I26)</f>
        <v>53421.236013600006</v>
      </c>
      <c r="K26" s="10"/>
      <c r="L26" s="10"/>
    </row>
    <row r="27" spans="2:12" ht="15.6" customHeight="1" x14ac:dyDescent="0.25">
      <c r="B27" s="199" t="s">
        <v>385</v>
      </c>
      <c r="C27" s="482" t="s">
        <v>428</v>
      </c>
      <c r="D27" s="483"/>
      <c r="E27" s="483"/>
      <c r="F27" s="483"/>
      <c r="G27" s="483"/>
      <c r="H27" s="483"/>
      <c r="I27" s="483"/>
      <c r="J27" s="484"/>
      <c r="K27" s="10"/>
      <c r="L27" s="10"/>
    </row>
    <row r="28" spans="2:12" ht="31.5" x14ac:dyDescent="0.25">
      <c r="B28" s="161"/>
      <c r="C28" s="200" t="s">
        <v>220</v>
      </c>
      <c r="D28" s="201" t="s">
        <v>222</v>
      </c>
      <c r="E28" s="68" t="s">
        <v>223</v>
      </c>
      <c r="F28" s="35">
        <v>900</v>
      </c>
      <c r="G28" s="202">
        <v>1050</v>
      </c>
      <c r="H28" s="35"/>
      <c r="I28" s="160"/>
      <c r="J28" s="304">
        <v>945500</v>
      </c>
      <c r="K28" s="10"/>
      <c r="L28" s="10"/>
    </row>
    <row r="29" spans="2:12" ht="34.5" customHeight="1" x14ac:dyDescent="0.25">
      <c r="B29" s="199" t="s">
        <v>385</v>
      </c>
      <c r="C29" s="482" t="s">
        <v>225</v>
      </c>
      <c r="D29" s="483"/>
      <c r="E29" s="483"/>
      <c r="F29" s="483"/>
      <c r="G29" s="483"/>
      <c r="H29" s="483"/>
      <c r="I29" s="483"/>
      <c r="J29" s="484"/>
      <c r="K29" s="10"/>
      <c r="L29" s="10"/>
    </row>
    <row r="30" spans="2:12" x14ac:dyDescent="0.25">
      <c r="B30" s="478" t="s">
        <v>392</v>
      </c>
      <c r="C30" s="479"/>
      <c r="D30" s="479"/>
      <c r="E30" s="479"/>
      <c r="F30" s="479"/>
      <c r="G30" s="479"/>
      <c r="H30" s="203">
        <f t="shared" ref="H30:I30" si="0">SUM(H26)</f>
        <v>42764.358000000007</v>
      </c>
      <c r="I30" s="203">
        <f t="shared" si="0"/>
        <v>10656.878013600002</v>
      </c>
      <c r="J30" s="305">
        <f>SUM(J26)</f>
        <v>53421.236013600006</v>
      </c>
      <c r="K30" s="10"/>
      <c r="L30" s="10"/>
    </row>
    <row r="31" spans="2:12" x14ac:dyDescent="0.25">
      <c r="B31" s="275" t="s">
        <v>228</v>
      </c>
      <c r="C31" s="280"/>
      <c r="D31" s="281" t="s">
        <v>229</v>
      </c>
      <c r="E31" s="278"/>
      <c r="F31" s="279"/>
      <c r="G31" s="279"/>
      <c r="H31" s="279" t="str">
        <f>IF(F31="","",F31*G31)</f>
        <v/>
      </c>
      <c r="I31" s="282"/>
      <c r="J31" s="307"/>
      <c r="K31" s="10"/>
      <c r="L31" s="10"/>
    </row>
    <row r="32" spans="2:12" ht="15.6" customHeight="1" x14ac:dyDescent="0.25">
      <c r="B32" s="199" t="s">
        <v>385</v>
      </c>
      <c r="C32" s="482" t="s">
        <v>429</v>
      </c>
      <c r="D32" s="483"/>
      <c r="E32" s="483"/>
      <c r="F32" s="483"/>
      <c r="G32" s="483"/>
      <c r="H32" s="483"/>
      <c r="I32" s="483"/>
      <c r="J32" s="484"/>
      <c r="K32" s="10"/>
      <c r="L32" s="10"/>
    </row>
    <row r="33" spans="2:12" ht="30.95" customHeight="1" x14ac:dyDescent="0.25">
      <c r="B33" s="158" t="s">
        <v>393</v>
      </c>
      <c r="C33" s="157">
        <v>97088</v>
      </c>
      <c r="D33" s="196" t="s">
        <v>430</v>
      </c>
      <c r="E33" s="68" t="s">
        <v>433</v>
      </c>
      <c r="F33" s="222">
        <f>F36/0.824</f>
        <v>902.91262135922329</v>
      </c>
      <c r="G33" s="35">
        <v>15.18</v>
      </c>
      <c r="H33" s="35">
        <f>IF(F33="","",F33*G33)</f>
        <v>13706.213592233009</v>
      </c>
      <c r="I33" s="35">
        <f>H33*'Orç. Dep. SR-PR'!$H$3</f>
        <v>3415.5884271844661</v>
      </c>
      <c r="J33" s="304">
        <f>IF(F33="","",H33+I33)</f>
        <v>17121.802019417475</v>
      </c>
      <c r="K33" s="10"/>
      <c r="L33" s="10"/>
    </row>
    <row r="34" spans="2:12" ht="30.95" customHeight="1" x14ac:dyDescent="0.25">
      <c r="B34" s="158" t="s">
        <v>394</v>
      </c>
      <c r="C34" s="157">
        <v>97096</v>
      </c>
      <c r="D34" s="196" t="s">
        <v>431</v>
      </c>
      <c r="E34" s="68" t="s">
        <v>379</v>
      </c>
      <c r="F34" s="222">
        <f>F36*0.06</f>
        <v>44.64</v>
      </c>
      <c r="G34" s="35">
        <v>552.88</v>
      </c>
      <c r="H34" s="35">
        <f>IF(F34="","",F34*G34)</f>
        <v>24680.563200000001</v>
      </c>
      <c r="I34" s="35">
        <f>H34*'Orç. Dep. SR-PR'!$H$3</f>
        <v>6150.3963494400004</v>
      </c>
      <c r="J34" s="304">
        <f>IF(F34="","",H34+I34)</f>
        <v>30830.959549440002</v>
      </c>
      <c r="K34" s="10"/>
      <c r="L34" s="10"/>
    </row>
    <row r="35" spans="2:12" ht="30.95" customHeight="1" x14ac:dyDescent="0.25">
      <c r="B35" s="158" t="s">
        <v>395</v>
      </c>
      <c r="C35" s="157">
        <v>44535</v>
      </c>
      <c r="D35" s="196" t="s">
        <v>381</v>
      </c>
      <c r="E35" s="68" t="s">
        <v>379</v>
      </c>
      <c r="F35" s="35">
        <f>F36*0.06</f>
        <v>44.64</v>
      </c>
      <c r="G35" s="35">
        <v>45.08</v>
      </c>
      <c r="H35" s="35">
        <f>IF(F35&lt;40,40*G35,F35*G35)</f>
        <v>2012.3712</v>
      </c>
      <c r="I35" s="35">
        <f>H35*'Orç. Dep. SR-PR'!$H$3</f>
        <v>501.48290304</v>
      </c>
      <c r="J35" s="304">
        <f>IF(F35="","",H35+I35)</f>
        <v>2513.8541030400002</v>
      </c>
      <c r="K35" s="10"/>
      <c r="L35" s="10"/>
    </row>
    <row r="36" spans="2:12" ht="30.95" customHeight="1" x14ac:dyDescent="0.25">
      <c r="B36" s="158" t="s">
        <v>434</v>
      </c>
      <c r="C36" s="157">
        <v>97097</v>
      </c>
      <c r="D36" s="196" t="s">
        <v>432</v>
      </c>
      <c r="E36" s="68" t="s">
        <v>223</v>
      </c>
      <c r="F36" s="35">
        <v>744</v>
      </c>
      <c r="G36" s="35">
        <v>41.08</v>
      </c>
      <c r="H36" s="35">
        <f>IF(F36="","",F36*G36)</f>
        <v>30563.52</v>
      </c>
      <c r="I36" s="35">
        <f>H36*'Orç. Dep. SR-PR'!$H$3</f>
        <v>7616.4291840000005</v>
      </c>
      <c r="J36" s="304">
        <f>IF(F36="","",H36+I36)</f>
        <v>38179.949183999997</v>
      </c>
      <c r="K36" s="10"/>
      <c r="L36" s="10"/>
    </row>
    <row r="37" spans="2:12" x14ac:dyDescent="0.25">
      <c r="B37" s="478" t="s">
        <v>392</v>
      </c>
      <c r="C37" s="479"/>
      <c r="D37" s="479"/>
      <c r="E37" s="479"/>
      <c r="F37" s="479"/>
      <c r="G37" s="479"/>
      <c r="H37" s="203">
        <f>SUM(H33:H36)</f>
        <v>70962.667992233008</v>
      </c>
      <c r="I37" s="203">
        <f>SUM(I33:I36)</f>
        <v>17683.896863664468</v>
      </c>
      <c r="J37" s="305">
        <f>SUM(J33:J36)</f>
        <v>88646.564855897479</v>
      </c>
      <c r="K37" s="10"/>
      <c r="L37" s="10"/>
    </row>
    <row r="38" spans="2:12" x14ac:dyDescent="0.25">
      <c r="B38" s="275" t="s">
        <v>383</v>
      </c>
      <c r="C38" s="280"/>
      <c r="D38" s="281" t="s">
        <v>384</v>
      </c>
      <c r="E38" s="278"/>
      <c r="F38" s="279"/>
      <c r="G38" s="279"/>
      <c r="H38" s="279" t="str">
        <f>IF(F38="","",F38*G38)</f>
        <v/>
      </c>
      <c r="I38" s="282"/>
      <c r="J38" s="307"/>
      <c r="K38" s="10"/>
      <c r="L38" s="10"/>
    </row>
    <row r="39" spans="2:12" ht="78.599999999999994" customHeight="1" x14ac:dyDescent="0.25">
      <c r="B39" s="158" t="s">
        <v>396</v>
      </c>
      <c r="C39" s="157" t="s">
        <v>435</v>
      </c>
      <c r="D39" s="223" t="s">
        <v>436</v>
      </c>
      <c r="E39" s="68" t="s">
        <v>437</v>
      </c>
      <c r="F39" s="68">
        <v>1</v>
      </c>
      <c r="G39" s="35">
        <v>25994.48</v>
      </c>
      <c r="H39" s="35">
        <f>IF(F39="","",F39*G39)</f>
        <v>25994.48</v>
      </c>
      <c r="I39" s="35"/>
      <c r="J39" s="304">
        <f>IF(F39="","",H39+I39)</f>
        <v>25994.48</v>
      </c>
      <c r="K39" s="10"/>
      <c r="L39" s="10"/>
    </row>
    <row r="40" spans="2:12" ht="15.6" customHeight="1" x14ac:dyDescent="0.25">
      <c r="B40" s="478" t="s">
        <v>392</v>
      </c>
      <c r="C40" s="479"/>
      <c r="D40" s="479"/>
      <c r="E40" s="479"/>
      <c r="F40" s="479"/>
      <c r="G40" s="479"/>
      <c r="H40" s="203">
        <f>SUM(H39:H39)</f>
        <v>25994.48</v>
      </c>
      <c r="I40" s="203">
        <f>SUM(I39:I39)</f>
        <v>0</v>
      </c>
      <c r="J40" s="305">
        <f>SUM(J39:J39)</f>
        <v>25994.48</v>
      </c>
      <c r="K40" s="10"/>
      <c r="L40" s="10"/>
    </row>
    <row r="41" spans="2:12" ht="15.6" customHeight="1" x14ac:dyDescent="0.25">
      <c r="B41" s="199" t="s">
        <v>385</v>
      </c>
      <c r="C41" s="482" t="s">
        <v>438</v>
      </c>
      <c r="D41" s="483"/>
      <c r="E41" s="483"/>
      <c r="F41" s="483"/>
      <c r="G41" s="483"/>
      <c r="H41" s="483"/>
      <c r="I41" s="483"/>
      <c r="J41" s="484"/>
      <c r="K41" s="10"/>
      <c r="L41" s="10"/>
    </row>
    <row r="42" spans="2:12" x14ac:dyDescent="0.25">
      <c r="B42" s="275" t="s">
        <v>386</v>
      </c>
      <c r="C42" s="280"/>
      <c r="D42" s="281" t="s">
        <v>387</v>
      </c>
      <c r="E42" s="278" t="s">
        <v>223</v>
      </c>
      <c r="F42" s="279">
        <v>174</v>
      </c>
      <c r="G42" s="279">
        <f>G44*(1+0.1065)</f>
        <v>2460.6390724802559</v>
      </c>
      <c r="H42" s="279">
        <f>IF(F42="","",F42*G42)</f>
        <v>428151.19861156453</v>
      </c>
      <c r="I42" s="282">
        <f>H42*BDI!C20</f>
        <v>90982.086509156943</v>
      </c>
      <c r="J42" s="307">
        <f>IF(F42="","",H42+I42)</f>
        <v>519133.28512072144</v>
      </c>
      <c r="K42" s="10"/>
      <c r="L42" s="10"/>
    </row>
    <row r="43" spans="2:12" ht="33" customHeight="1" x14ac:dyDescent="0.25">
      <c r="B43" s="199" t="s">
        <v>385</v>
      </c>
      <c r="C43" s="482" t="s">
        <v>391</v>
      </c>
      <c r="D43" s="483"/>
      <c r="E43" s="483"/>
      <c r="F43" s="483"/>
      <c r="G43" s="483"/>
      <c r="H43" s="483"/>
      <c r="I43" s="483"/>
      <c r="J43" s="484"/>
      <c r="K43" s="10"/>
      <c r="L43" s="10"/>
    </row>
    <row r="44" spans="2:12" x14ac:dyDescent="0.25">
      <c r="B44" s="161"/>
      <c r="C44" s="200" t="s">
        <v>220</v>
      </c>
      <c r="D44" s="201" t="s">
        <v>389</v>
      </c>
      <c r="E44" s="68" t="s">
        <v>223</v>
      </c>
      <c r="F44" s="35">
        <v>296.95</v>
      </c>
      <c r="G44" s="202">
        <f>H44/F44</f>
        <v>2223.8039516315011</v>
      </c>
      <c r="H44" s="35">
        <v>660358.58343697421</v>
      </c>
      <c r="I44" s="160"/>
      <c r="J44" s="304">
        <f>IF(F44="","",H44+I44)</f>
        <v>660358.58343697421</v>
      </c>
      <c r="K44" s="10"/>
      <c r="L44" s="10"/>
    </row>
    <row r="45" spans="2:12" ht="30.95" customHeight="1" x14ac:dyDescent="0.25">
      <c r="B45" s="199" t="s">
        <v>385</v>
      </c>
      <c r="C45" s="482" t="s">
        <v>413</v>
      </c>
      <c r="D45" s="483"/>
      <c r="E45" s="483"/>
      <c r="F45" s="483"/>
      <c r="G45" s="483"/>
      <c r="H45" s="483"/>
      <c r="I45" s="483"/>
      <c r="J45" s="484"/>
      <c r="K45" s="10"/>
      <c r="L45" s="10"/>
    </row>
    <row r="46" spans="2:12" x14ac:dyDescent="0.25">
      <c r="B46" s="478" t="s">
        <v>392</v>
      </c>
      <c r="C46" s="479"/>
      <c r="D46" s="479"/>
      <c r="E46" s="479"/>
      <c r="F46" s="479"/>
      <c r="G46" s="479"/>
      <c r="H46" s="203">
        <f t="shared" ref="H46:I46" si="1">SUM(H42)</f>
        <v>428151.19861156453</v>
      </c>
      <c r="I46" s="203">
        <f t="shared" si="1"/>
        <v>90982.086509156943</v>
      </c>
      <c r="J46" s="305">
        <f>SUM(J42)</f>
        <v>519133.28512072144</v>
      </c>
      <c r="K46" s="10"/>
      <c r="L46" s="10"/>
    </row>
    <row r="47" spans="2:12" ht="16.5" thickBot="1" x14ac:dyDescent="0.3">
      <c r="B47" s="480" t="s">
        <v>380</v>
      </c>
      <c r="C47" s="481"/>
      <c r="D47" s="481"/>
      <c r="E47" s="481"/>
      <c r="F47" s="481"/>
      <c r="G47" s="481"/>
      <c r="H47" s="308">
        <f>SUM(H46,H37,H30,H40)</f>
        <v>567872.70460379752</v>
      </c>
      <c r="I47" s="308">
        <f>SUM(I46,I37,I30,I40)</f>
        <v>119322.86138642141</v>
      </c>
      <c r="J47" s="309">
        <f>SUM(J46,J37,J30,J40)</f>
        <v>687195.56599021889</v>
      </c>
      <c r="K47" s="10"/>
      <c r="L47" s="10"/>
    </row>
    <row r="48" spans="2:12" ht="16.5" thickBot="1" x14ac:dyDescent="0.3">
      <c r="B48" s="480" t="s">
        <v>54</v>
      </c>
      <c r="C48" s="481"/>
      <c r="D48" s="481"/>
      <c r="E48" s="481"/>
      <c r="F48" s="481"/>
      <c r="G48" s="481"/>
      <c r="H48" s="308">
        <f>SUM(H47,H38,H31,H41)</f>
        <v>567872.70460379752</v>
      </c>
      <c r="I48" s="308">
        <f>SUM(I47,I38,I31,I41)</f>
        <v>119322.86138642141</v>
      </c>
      <c r="J48" s="309">
        <f>SUM(J47,J24)</f>
        <v>869419.01749407558</v>
      </c>
      <c r="K48" s="10"/>
      <c r="L48" s="10"/>
    </row>
    <row r="49" spans="8:12" x14ac:dyDescent="0.25">
      <c r="J49" s="20"/>
      <c r="K49" s="10"/>
      <c r="L49" s="10"/>
    </row>
    <row r="50" spans="8:12" x14ac:dyDescent="0.25">
      <c r="J50" s="20"/>
      <c r="K50" s="10"/>
      <c r="L50" s="10"/>
    </row>
    <row r="51" spans="8:12" x14ac:dyDescent="0.25">
      <c r="H51" s="310">
        <f>H24/H47</f>
        <v>0.2568746801472872</v>
      </c>
      <c r="J51" s="20"/>
    </row>
    <row r="58" spans="8:12" x14ac:dyDescent="0.25">
      <c r="J58" s="40" t="s">
        <v>390</v>
      </c>
    </row>
  </sheetData>
  <mergeCells count="25">
    <mergeCell ref="B48:G48"/>
    <mergeCell ref="B11:J11"/>
    <mergeCell ref="C17:J17"/>
    <mergeCell ref="C20:J20"/>
    <mergeCell ref="C27:J27"/>
    <mergeCell ref="C29:J29"/>
    <mergeCell ref="B19:G19"/>
    <mergeCell ref="B30:G30"/>
    <mergeCell ref="B24:G24"/>
    <mergeCell ref="C45:J45"/>
    <mergeCell ref="C43:J43"/>
    <mergeCell ref="B12:J12"/>
    <mergeCell ref="B13:J13"/>
    <mergeCell ref="C32:J32"/>
    <mergeCell ref="C41:J41"/>
    <mergeCell ref="B47:G47"/>
    <mergeCell ref="B23:G23"/>
    <mergeCell ref="B46:G46"/>
    <mergeCell ref="B40:G40"/>
    <mergeCell ref="B37:G37"/>
    <mergeCell ref="B6:J6"/>
    <mergeCell ref="B7:J7"/>
    <mergeCell ref="B8:J8"/>
    <mergeCell ref="B9:J9"/>
    <mergeCell ref="B10:J10"/>
  </mergeCells>
  <printOptions horizontalCentered="1"/>
  <pageMargins left="0.25" right="0.25" top="0.75" bottom="0.75" header="0.3" footer="0.3"/>
  <pageSetup paperSize="9" scale="5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F84D7E09370240978807383F0A2682" ma:contentTypeVersion="11" ma:contentTypeDescription="Create a new document." ma:contentTypeScope="" ma:versionID="f4f2cdea38ad9d157c2c0e76a4d27395">
  <xsd:schema xmlns:xsd="http://www.w3.org/2001/XMLSchema" xmlns:xs="http://www.w3.org/2001/XMLSchema" xmlns:p="http://schemas.microsoft.com/office/2006/metadata/properties" xmlns:ns3="c676219a-09dd-4f5d-8d22-8c00ac66886a" xmlns:ns4="c2d9a567-2e7c-4e41-8ea5-abfdfd8a4755" targetNamespace="http://schemas.microsoft.com/office/2006/metadata/properties" ma:root="true" ma:fieldsID="7bd9d0bf4ff3a9d14cc58e48b55cce98" ns3:_="" ns4:_="">
    <xsd:import namespace="c676219a-09dd-4f5d-8d22-8c00ac66886a"/>
    <xsd:import namespace="c2d9a567-2e7c-4e41-8ea5-abfdfd8a475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76219a-09dd-4f5d-8d22-8c00ac6688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2d9a567-2e7c-4e41-8ea5-abfdfd8a475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357618-AEF5-4773-9815-2E0C4C4781FC}">
  <ds:schemaRefs>
    <ds:schemaRef ds:uri="http://schemas.microsoft.com/sharepoint/v3/contenttype/forms"/>
  </ds:schemaRefs>
</ds:datastoreItem>
</file>

<file path=customXml/itemProps2.xml><?xml version="1.0" encoding="utf-8"?>
<ds:datastoreItem xmlns:ds="http://schemas.openxmlformats.org/officeDocument/2006/customXml" ds:itemID="{9769ECD9-5CA3-4FFC-9CCD-A31EEBFA39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76219a-09dd-4f5d-8d22-8c00ac66886a"/>
    <ds:schemaRef ds:uri="c2d9a567-2e7c-4e41-8ea5-abfdfd8a47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10A2BF-D772-4530-A008-37F2637ACA42}">
  <ds:schemaRefs>
    <ds:schemaRef ds:uri="http://schemas.microsoft.com/office/2006/metadata/properties"/>
    <ds:schemaRef ds:uri="c676219a-09dd-4f5d-8d22-8c00ac66886a"/>
    <ds:schemaRef ds:uri="http://purl.org/dc/elements/1.1/"/>
    <ds:schemaRef ds:uri="http://schemas.microsoft.com/office/2006/documentManagement/types"/>
    <ds:schemaRef ds:uri="http://purl.org/dc/dcmitype/"/>
    <ds:schemaRef ds:uri="c2d9a567-2e7c-4e41-8ea5-abfdfd8a4755"/>
    <ds:schemaRef ds:uri="http://schemas.microsoft.com/office/infopath/2007/PartnerControls"/>
    <ds:schemaRef ds:uri="http://www.w3.org/XML/1998/namespace"/>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18</vt:i4>
      </vt:variant>
    </vt:vector>
  </HeadingPairs>
  <TitlesOfParts>
    <vt:vector size="32" baseType="lpstr">
      <vt:lpstr>Planilha Orçamentária</vt:lpstr>
      <vt:lpstr>Planilha a preencher</vt:lpstr>
      <vt:lpstr>Planilha Orçamentária - licit.</vt:lpstr>
      <vt:lpstr>Planilha Sintética</vt:lpstr>
      <vt:lpstr>BDI</vt:lpstr>
      <vt:lpstr>Composição_BDI</vt:lpstr>
      <vt:lpstr>Cronograma físico-financ.</vt:lpstr>
      <vt:lpstr>Mem. Calc.</vt:lpstr>
      <vt:lpstr>Estimat. Preço</vt:lpstr>
      <vt:lpstr>Mem. Calc._area</vt:lpstr>
      <vt:lpstr>ABC Insumos</vt:lpstr>
      <vt:lpstr>Quadro de Áreas</vt:lpstr>
      <vt:lpstr>Orç. Dep. SR-PR</vt:lpstr>
      <vt:lpstr>Taxa Selic</vt:lpstr>
      <vt:lpstr>AC</vt:lpstr>
      <vt:lpstr>'ABC Insumos'!Area_de_impressao</vt:lpstr>
      <vt:lpstr>BDI!Area_de_impressao</vt:lpstr>
      <vt:lpstr>'Estimat. Preço'!Area_de_impressao</vt:lpstr>
      <vt:lpstr>'Mem. Calc.'!Area_de_impressao</vt:lpstr>
      <vt:lpstr>'Mem. Calc._area'!Area_de_impressao</vt:lpstr>
      <vt:lpstr>'Planilha Orçamentária'!Area_de_impressao</vt:lpstr>
      <vt:lpstr>'Planilha Orçamentária - licit.'!Area_de_impressao</vt:lpstr>
      <vt:lpstr>'Planilha Sintética'!Area_de_impressao</vt:lpstr>
      <vt:lpstr>DF</vt:lpstr>
      <vt:lpstr>I</vt:lpstr>
      <vt:lpstr>LUCRO</vt:lpstr>
      <vt:lpstr>RISCO</vt:lpstr>
      <vt:lpstr>S</vt:lpstr>
      <vt:lpstr>SEGURO</vt:lpstr>
      <vt:lpstr>'Planilha Orçamentária'!Titulos_de_impressao</vt:lpstr>
      <vt:lpstr>'Planilha Orçamentária - licit.'!Titulos_de_impressao</vt:lpstr>
      <vt:lpstr>'Planilha Sintética'!Titulos_de_impressao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 Francisco Silva Medina</dc:creator>
  <cp:lastModifiedBy>Jose de Franca Filho</cp:lastModifiedBy>
  <cp:lastPrinted>2023-11-09T13:26:23Z</cp:lastPrinted>
  <dcterms:created xsi:type="dcterms:W3CDTF">2020-07-09T10:43:31Z</dcterms:created>
  <dcterms:modified xsi:type="dcterms:W3CDTF">2023-11-14T17:56:33Z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0x0101008CF84D7E09370240978807383F0A2682</vt:lpwstr>
  </property>
</Properties>
</file>